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threadedComments/threadedComment3.xml" ContentType="application/vnd.ms-excel.threadedcomments+xml"/>
  <Override PartName="/xl/drawings/drawing2.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threadedComments/threadedComment4.xml" ContentType="application/vnd.ms-excel.threadedcomments+xml"/>
  <Override PartName="/xl/drawings/drawing1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C:\Users\karen.mendez\Downloads\"/>
    </mc:Choice>
  </mc:AlternateContent>
  <xr:revisionPtr revIDLastSave="0" documentId="8_{73EC034C-FEF9-431D-A89E-515954E1EA91}" xr6:coauthVersionLast="47" xr6:coauthVersionMax="47" xr10:uidLastSave="{00000000-0000-0000-0000-000000000000}"/>
  <bookViews>
    <workbookView xWindow="-110" yWindow="-110" windowWidth="19420" windowHeight="10420" tabRatio="783" activeTab="23" xr2:uid="{00000000-000D-0000-FFFF-FFFF00000000}"/>
  </bookViews>
  <sheets>
    <sheet name="Indice" sheetId="25" r:id="rId1"/>
    <sheet name="1" sheetId="29" r:id="rId2"/>
    <sheet name="2" sheetId="30" r:id="rId3"/>
    <sheet name="3" sheetId="31" r:id="rId4"/>
    <sheet name="4" sheetId="32" r:id="rId5"/>
    <sheet name="5" sheetId="33" r:id="rId6"/>
    <sheet name="6" sheetId="34" r:id="rId7"/>
    <sheet name="7" sheetId="35" r:id="rId8"/>
    <sheet name="8" sheetId="36" r:id="rId9"/>
    <sheet name="9" sheetId="37" r:id="rId10"/>
    <sheet name="Situación actual" sheetId="26" r:id="rId11"/>
    <sheet name="Situación Futura" sheetId="27" r:id="rId12"/>
    <sheet name="Matriz" sheetId="28" r:id="rId13"/>
    <sheet name="DF" sheetId="38" r:id="rId14"/>
    <sheet name="1. V.Inicial- DX (Gestor)" sheetId="4" state="hidden" r:id="rId15"/>
    <sheet name="Anexo. Cotizaciones (Ext)" sheetId="23" state="hidden" r:id="rId16"/>
    <sheet name="2. Plan de Trabajo (Ext)" sheetId="8" state="hidden" r:id="rId17"/>
    <sheet name="3. Seguimiento Int. 1" sheetId="22" state="hidden" r:id="rId18"/>
    <sheet name="3.2" sheetId="40" state="hidden" r:id="rId19"/>
    <sheet name="4. Acta de Cierre (Ext)" sheetId="12" state="hidden" r:id="rId20"/>
    <sheet name="Indicadores" sheetId="42" state="hidden" r:id="rId21"/>
    <sheet name="Hoja de Datos" sheetId="39" state="hidden" r:id="rId22"/>
    <sheet name="Hoja1" sheetId="24" state="hidden" r:id="rId23"/>
    <sheet name="SIREM" sheetId="45" r:id="rId24"/>
  </sheets>
  <externalReferences>
    <externalReference r:id="rId25"/>
    <externalReference r:id="rId26"/>
  </externalReferences>
  <definedNames>
    <definedName name="_xlnm._FilterDatabase" localSheetId="20" hidden="1">Indicadores!$A$17:$G$81</definedName>
    <definedName name="Año" localSheetId="2">[1]!TAño[Año]</definedName>
    <definedName name="Año" localSheetId="3">[1]!TAño[Año]</definedName>
    <definedName name="Año" localSheetId="5">[1]!TAño[Año]</definedName>
    <definedName name="Año" localSheetId="6">[1]!TAño[Año]</definedName>
    <definedName name="Año" localSheetId="7">[1]!TAño[Año]</definedName>
    <definedName name="Año" localSheetId="9">[1]!TAño[Año]</definedName>
    <definedName name="Año" localSheetId="13">[1]!TAño[Año]</definedName>
    <definedName name="Año" localSheetId="0">[1]!TAño[Año]</definedName>
    <definedName name="Año" localSheetId="12">[1]!TAño[Año]</definedName>
    <definedName name="Año" localSheetId="10">[1]!TAño[Año]</definedName>
    <definedName name="Año" localSheetId="11">[1]!TAño[Año]</definedName>
    <definedName name="Año">[1]!TAño[Año]</definedName>
    <definedName name="_xlnm.Print_Area" localSheetId="1">'1'!$A$1:$M$46</definedName>
    <definedName name="_xlnm.Print_Area" localSheetId="14">'1. V.Inicial- DX (Gestor)'!$B$2:$N$77</definedName>
    <definedName name="_xlnm.Print_Area" localSheetId="2">'2'!$A$1:$M$71</definedName>
    <definedName name="_xlnm.Print_Area" localSheetId="16">'2. Plan de Trabajo (Ext)'!$B$2:$M$130</definedName>
    <definedName name="_xlnm.Print_Area" localSheetId="3">'3'!$A$1:$M$46</definedName>
    <definedName name="_xlnm.Print_Area" localSheetId="17">'3. Seguimiento Int. 1'!$B$2:$L$82</definedName>
    <definedName name="_xlnm.Print_Area" localSheetId="18">'3.2'!$B$2:$L$82</definedName>
    <definedName name="_xlnm.Print_Area" localSheetId="4">'4'!$A$1:$M$47</definedName>
    <definedName name="_xlnm.Print_Area" localSheetId="19">'4. Acta de Cierre (Ext)'!$B$2:$O$68</definedName>
    <definedName name="_xlnm.Print_Area" localSheetId="5">'5'!$A$1:$M$23</definedName>
    <definedName name="_xlnm.Print_Area" localSheetId="6">'6'!$A$1:$M$69</definedName>
    <definedName name="_xlnm.Print_Area" localSheetId="7">'7'!$A$1:$M$36</definedName>
    <definedName name="_xlnm.Print_Area" localSheetId="8">'8'!$A$1:$M$45</definedName>
    <definedName name="_xlnm.Print_Area" localSheetId="9">'9'!$A$1:$M$36</definedName>
    <definedName name="_xlnm.Print_Area" localSheetId="15">'Anexo. Cotizaciones (Ext)'!$B$2:$L$39</definedName>
    <definedName name="_xlnm.Print_Area" localSheetId="13">DF!$A$1:$M$35</definedName>
    <definedName name="_xlnm.Print_Area" localSheetId="0">Indice!$A$1:$AF$46</definedName>
    <definedName name="_xlnm.Print_Area" localSheetId="12">Matriz!$A$1:$T$25</definedName>
    <definedName name="_xlnm.Print_Area" localSheetId="10">'Situación actual'!$N$8</definedName>
    <definedName name="_xlnm.Print_Area" localSheetId="11">'Situación Futura'!$A$1:$N$164</definedName>
    <definedName name="Dias" localSheetId="2">[1]!TDias[Día]</definedName>
    <definedName name="Dias" localSheetId="3">[1]!TDias[Día]</definedName>
    <definedName name="Dias" localSheetId="5">[1]!TDias[Día]</definedName>
    <definedName name="Dias" localSheetId="6">[1]!TDias[Día]</definedName>
    <definedName name="Dias" localSheetId="7">[1]!TDias[Día]</definedName>
    <definedName name="Dias" localSheetId="9">[1]!TDias[Día]</definedName>
    <definedName name="Dias" localSheetId="13">[1]!TDias[Día]</definedName>
    <definedName name="Dias" localSheetId="0">[1]!TDias[Día]</definedName>
    <definedName name="Dias" localSheetId="12">[1]!TDias[Día]</definedName>
    <definedName name="Dias" localSheetId="10">[1]!TDias[Día]</definedName>
    <definedName name="Dias" localSheetId="11">[1]!TDias[Día]</definedName>
    <definedName name="Dias">[1]!TDias[Día]</definedName>
    <definedName name="Gestión_comercial" localSheetId="15">[2]Indicadores!#REF!</definedName>
    <definedName name="Gestión_comercial" localSheetId="20">Indicadores!#REF!</definedName>
    <definedName name="Gestión_comercial">#REF!</definedName>
    <definedName name="Logomarca" localSheetId="2">#REF!</definedName>
    <definedName name="Logomarca" localSheetId="3">#REF!</definedName>
    <definedName name="Logomarca" localSheetId="4">#REF!</definedName>
    <definedName name="Logomarca" localSheetId="5">#REF!</definedName>
    <definedName name="Logomarca" localSheetId="6">#REF!</definedName>
    <definedName name="Logomarca" localSheetId="7">#REF!</definedName>
    <definedName name="Logomarca" localSheetId="8">#REF!</definedName>
    <definedName name="Logomarca" localSheetId="9">#REF!</definedName>
    <definedName name="Logomarca" localSheetId="13">#REF!</definedName>
    <definedName name="Logomarca" localSheetId="0">#REF!</definedName>
    <definedName name="Logomarca" localSheetId="12">#REF!</definedName>
    <definedName name="Logomarca" localSheetId="10">#REF!</definedName>
    <definedName name="Logomarca" localSheetId="11">#REF!</definedName>
    <definedName name="Logomarca">#REF!</definedName>
    <definedName name="Mes" localSheetId="2">[1]!TMeses[Mes]</definedName>
    <definedName name="Mes" localSheetId="3">[1]!TMeses[Mes]</definedName>
    <definedName name="Mes" localSheetId="5">[1]!TMeses[Mes]</definedName>
    <definedName name="Mes" localSheetId="6">[1]!TMeses[Mes]</definedName>
    <definedName name="Mes" localSheetId="7">[1]!TMeses[Mes]</definedName>
    <definedName name="Mes" localSheetId="9">[1]!TMeses[Mes]</definedName>
    <definedName name="Mes" localSheetId="13">[1]!TMeses[Mes]</definedName>
    <definedName name="Mes" localSheetId="0">[1]!TMeses[Mes]</definedName>
    <definedName name="Mes" localSheetId="12">[1]!TMeses[Mes]</definedName>
    <definedName name="Mes" localSheetId="10">[1]!TMeses[Mes]</definedName>
    <definedName name="Mes" localSheetId="11">[1]!TMeses[Mes]</definedName>
    <definedName name="Mes">[1]!TMeses[Mes]</definedName>
    <definedName name="Print_Area" localSheetId="7">'7'!$A$1:$M$50</definedName>
    <definedName name="_xlnm.Print_Titles" localSheetId="1">'1'!$1:$2</definedName>
    <definedName name="_xlnm.Print_Titles" localSheetId="2">'2'!$1:$2</definedName>
    <definedName name="_xlnm.Print_Titles" localSheetId="16">'2. Plan de Trabajo (Ext)'!$3:$9</definedName>
    <definedName name="_xlnm.Print_Titles" localSheetId="3">'3'!$1:$2</definedName>
    <definedName name="_xlnm.Print_Titles" localSheetId="17">'3. Seguimiento Int. 1'!$7:$15</definedName>
    <definedName name="_xlnm.Print_Titles" localSheetId="18">'3.2'!$7:$15</definedName>
    <definedName name="_xlnm.Print_Titles" localSheetId="4">'4'!$1:$2</definedName>
    <definedName name="_xlnm.Print_Titles" localSheetId="19">'4. Acta de Cierre (Ext)'!$2:$9</definedName>
    <definedName name="_xlnm.Print_Titles" localSheetId="5">'5'!$1:$2</definedName>
    <definedName name="_xlnm.Print_Titles" localSheetId="6">'6'!$1:$2</definedName>
    <definedName name="_xlnm.Print_Titles" localSheetId="7">'7'!$1:$2</definedName>
    <definedName name="_xlnm.Print_Titles" localSheetId="8">'8'!$1:$2</definedName>
    <definedName name="_xlnm.Print_Titles" localSheetId="9">'9'!$1:$2</definedName>
    <definedName name="TProp" localSheetId="2">[1]!Proponente[Tipo proponente]</definedName>
    <definedName name="TProp" localSheetId="3">[1]!Proponente[Tipo proponente]</definedName>
    <definedName name="TProp" localSheetId="5">[1]!Proponente[Tipo proponente]</definedName>
    <definedName name="TProp" localSheetId="6">[1]!Proponente[Tipo proponente]</definedName>
    <definedName name="TProp" localSheetId="7">[1]!Proponente[Tipo proponente]</definedName>
    <definedName name="TProp" localSheetId="9">[1]!Proponente[Tipo proponente]</definedName>
    <definedName name="TProp" localSheetId="13">[1]!Proponente[Tipo proponente]</definedName>
    <definedName name="TProp" localSheetId="0">[1]!Proponente[Tipo proponente]</definedName>
    <definedName name="TProp" localSheetId="12">[1]!Proponente[Tipo proponente]</definedName>
    <definedName name="TProp" localSheetId="10">[1]!Proponente[Tipo proponente]</definedName>
    <definedName name="TProp" localSheetId="11">[1]!Proponente[Tipo proponente]</definedName>
    <definedName name="TProp">[1]!Proponente[Tipo proponente]</definedName>
    <definedName name="TProy" localSheetId="2">[1]!Proyecto[proyecto]</definedName>
    <definedName name="TProy" localSheetId="3">[1]!Proyecto[proyecto]</definedName>
    <definedName name="TProy" localSheetId="5">[1]!Proyecto[proyecto]</definedName>
    <definedName name="TProy" localSheetId="6">[1]!Proyecto[proyecto]</definedName>
    <definedName name="TProy" localSheetId="7">[1]!Proyecto[proyecto]</definedName>
    <definedName name="TProy" localSheetId="9">[1]!Proyecto[proyecto]</definedName>
    <definedName name="TProy" localSheetId="13">[1]!Proyecto[proyecto]</definedName>
    <definedName name="TProy" localSheetId="0">[1]!Proyecto[proyecto]</definedName>
    <definedName name="TProy" localSheetId="12">[1]!Proyecto[proyecto]</definedName>
    <definedName name="TProy" localSheetId="10">[1]!Proyecto[proyecto]</definedName>
    <definedName name="TProy" localSheetId="11">[1]!Proyecto[proyecto]</definedName>
    <definedName name="TProy">[1]!Proyecto[proyecto]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5" i="26" l="1"/>
  <c r="E24" i="38"/>
  <c r="E17" i="38"/>
  <c r="F47" i="12"/>
  <c r="B50" i="12"/>
  <c r="J116" i="8"/>
  <c r="H4" i="42"/>
  <c r="I4" i="42" s="1"/>
  <c r="J4" i="42" s="1"/>
  <c r="K4" i="42" s="1"/>
  <c r="L4" i="42" s="1"/>
  <c r="M4" i="42" s="1"/>
  <c r="N4" i="42" s="1"/>
  <c r="O4" i="42" s="1"/>
  <c r="P4" i="42" s="1"/>
  <c r="Q4" i="42" s="1"/>
  <c r="R4" i="42" s="1"/>
  <c r="S4" i="42" s="1"/>
  <c r="T4" i="42" s="1"/>
  <c r="U4" i="42" s="1"/>
  <c r="V4" i="42" s="1"/>
  <c r="G4" i="42"/>
  <c r="W18" i="25"/>
  <c r="C15" i="4" s="1"/>
  <c r="D15" i="4" s="1"/>
  <c r="K49" i="12"/>
  <c r="E7" i="38"/>
  <c r="T11" i="38" s="1"/>
  <c r="H7" i="38"/>
  <c r="G7" i="38"/>
  <c r="F7" i="38"/>
  <c r="U11" i="38"/>
  <c r="M23" i="26"/>
  <c r="L23" i="26"/>
  <c r="K23" i="26"/>
  <c r="I23" i="26"/>
  <c r="J23" i="26"/>
  <c r="J21" i="26"/>
  <c r="K13" i="8"/>
  <c r="B1696" i="45"/>
  <c r="B1697" i="45"/>
  <c r="B1698" i="45"/>
  <c r="B1699" i="45"/>
  <c r="B1700" i="45"/>
  <c r="A2" i="45"/>
  <c r="B2" i="45"/>
  <c r="N2" i="45"/>
  <c r="O2" i="45"/>
  <c r="P2" i="45"/>
  <c r="Q2" i="45"/>
  <c r="A3" i="45"/>
  <c r="B3" i="45"/>
  <c r="N3" i="45"/>
  <c r="O3" i="45"/>
  <c r="P3" i="45"/>
  <c r="Q3" i="45"/>
  <c r="A4" i="45"/>
  <c r="B4" i="45"/>
  <c r="N4" i="45"/>
  <c r="O4" i="45"/>
  <c r="P4" i="45"/>
  <c r="Q4" i="45"/>
  <c r="A5" i="45"/>
  <c r="B5" i="45"/>
  <c r="N5" i="45"/>
  <c r="O5" i="45"/>
  <c r="P5" i="45"/>
  <c r="Q5" i="45"/>
  <c r="A6" i="45"/>
  <c r="B6" i="45"/>
  <c r="N6" i="45"/>
  <c r="O6" i="45"/>
  <c r="P6" i="45"/>
  <c r="Q6" i="45"/>
  <c r="A7" i="45"/>
  <c r="B7" i="45"/>
  <c r="N7" i="45"/>
  <c r="O7" i="45"/>
  <c r="P7" i="45"/>
  <c r="Q7" i="45"/>
  <c r="A8" i="45"/>
  <c r="B8" i="45"/>
  <c r="N8" i="45"/>
  <c r="O8" i="45"/>
  <c r="P8" i="45"/>
  <c r="Q8" i="45"/>
  <c r="A9" i="45"/>
  <c r="B9" i="45"/>
  <c r="N9" i="45"/>
  <c r="O9" i="45"/>
  <c r="P9" i="45"/>
  <c r="Q9" i="45"/>
  <c r="A10" i="45"/>
  <c r="B10" i="45"/>
  <c r="N10" i="45"/>
  <c r="O10" i="45"/>
  <c r="P10" i="45"/>
  <c r="Q10" i="45"/>
  <c r="A11" i="45"/>
  <c r="B11" i="45"/>
  <c r="N11" i="45"/>
  <c r="O11" i="45"/>
  <c r="P11" i="45"/>
  <c r="Q11" i="45"/>
  <c r="A12" i="45"/>
  <c r="B12" i="45"/>
  <c r="N12" i="45"/>
  <c r="O12" i="45"/>
  <c r="P12" i="45"/>
  <c r="Q12" i="45"/>
  <c r="A13" i="45"/>
  <c r="B13" i="45"/>
  <c r="N13" i="45"/>
  <c r="O13" i="45"/>
  <c r="P13" i="45"/>
  <c r="Q13" i="45"/>
  <c r="A14" i="45"/>
  <c r="B14" i="45"/>
  <c r="N14" i="45"/>
  <c r="O14" i="45"/>
  <c r="P14" i="45"/>
  <c r="Q14" i="45"/>
  <c r="A15" i="45"/>
  <c r="B15" i="45"/>
  <c r="N15" i="45"/>
  <c r="O15" i="45"/>
  <c r="P15" i="45"/>
  <c r="Q15" i="45"/>
  <c r="A16" i="45"/>
  <c r="B16" i="45"/>
  <c r="N16" i="45"/>
  <c r="O16" i="45"/>
  <c r="P16" i="45"/>
  <c r="Q16" i="45"/>
  <c r="A17" i="45"/>
  <c r="B17" i="45"/>
  <c r="N17" i="45"/>
  <c r="O17" i="45"/>
  <c r="P17" i="45"/>
  <c r="Q17" i="45"/>
  <c r="A18" i="45"/>
  <c r="B18" i="45"/>
  <c r="N18" i="45"/>
  <c r="O18" i="45"/>
  <c r="P18" i="45"/>
  <c r="Q18" i="45"/>
  <c r="A19" i="45"/>
  <c r="B19" i="45"/>
  <c r="N19" i="45"/>
  <c r="O19" i="45"/>
  <c r="P19" i="45"/>
  <c r="Q19" i="45"/>
  <c r="A20" i="45"/>
  <c r="B20" i="45"/>
  <c r="N20" i="45"/>
  <c r="O20" i="45"/>
  <c r="P20" i="45"/>
  <c r="Q20" i="45"/>
  <c r="A21" i="45"/>
  <c r="B21" i="45"/>
  <c r="N21" i="45"/>
  <c r="O21" i="45"/>
  <c r="P21" i="45"/>
  <c r="Q21" i="45"/>
  <c r="A22" i="45"/>
  <c r="B22" i="45"/>
  <c r="N22" i="45"/>
  <c r="O22" i="45"/>
  <c r="P22" i="45"/>
  <c r="Q22" i="45"/>
  <c r="A23" i="45"/>
  <c r="B23" i="45"/>
  <c r="N23" i="45"/>
  <c r="O23" i="45"/>
  <c r="P23" i="45"/>
  <c r="Q23" i="45"/>
  <c r="A24" i="45"/>
  <c r="B24" i="45"/>
  <c r="N24" i="45"/>
  <c r="O24" i="45"/>
  <c r="P24" i="45"/>
  <c r="Q24" i="45"/>
  <c r="A25" i="45"/>
  <c r="B25" i="45"/>
  <c r="N25" i="45"/>
  <c r="O25" i="45"/>
  <c r="P25" i="45"/>
  <c r="Q25" i="45"/>
  <c r="A26" i="45"/>
  <c r="B26" i="45"/>
  <c r="N26" i="45"/>
  <c r="O26" i="45"/>
  <c r="P26" i="45"/>
  <c r="Q26" i="45"/>
  <c r="A27" i="45"/>
  <c r="B27" i="45"/>
  <c r="N27" i="45"/>
  <c r="O27" i="45"/>
  <c r="P27" i="45"/>
  <c r="Q27" i="45"/>
  <c r="A28" i="45"/>
  <c r="B28" i="45"/>
  <c r="N28" i="45"/>
  <c r="O28" i="45"/>
  <c r="P28" i="45"/>
  <c r="Q28" i="45"/>
  <c r="A29" i="45"/>
  <c r="B29" i="45"/>
  <c r="N29" i="45"/>
  <c r="O29" i="45"/>
  <c r="P29" i="45"/>
  <c r="Q29" i="45"/>
  <c r="A30" i="45"/>
  <c r="B30" i="45"/>
  <c r="N30" i="45"/>
  <c r="O30" i="45"/>
  <c r="P30" i="45"/>
  <c r="Q30" i="45"/>
  <c r="A31" i="45"/>
  <c r="B31" i="45"/>
  <c r="N31" i="45"/>
  <c r="O31" i="45"/>
  <c r="P31" i="45"/>
  <c r="Q31" i="45"/>
  <c r="A32" i="45"/>
  <c r="B32" i="45"/>
  <c r="N32" i="45"/>
  <c r="O32" i="45"/>
  <c r="P32" i="45"/>
  <c r="Q32" i="45"/>
  <c r="A33" i="45"/>
  <c r="B33" i="45"/>
  <c r="N33" i="45"/>
  <c r="O33" i="45"/>
  <c r="P33" i="45"/>
  <c r="Q33" i="45"/>
  <c r="A34" i="45"/>
  <c r="B34" i="45"/>
  <c r="N34" i="45"/>
  <c r="O34" i="45"/>
  <c r="P34" i="45"/>
  <c r="Q34" i="45"/>
  <c r="A35" i="45"/>
  <c r="B35" i="45"/>
  <c r="N35" i="45"/>
  <c r="O35" i="45"/>
  <c r="P35" i="45"/>
  <c r="Q35" i="45"/>
  <c r="A36" i="45"/>
  <c r="B36" i="45"/>
  <c r="N36" i="45"/>
  <c r="O36" i="45"/>
  <c r="P36" i="45"/>
  <c r="Q36" i="45"/>
  <c r="A37" i="45"/>
  <c r="B37" i="45"/>
  <c r="N37" i="45"/>
  <c r="O37" i="45"/>
  <c r="P37" i="45"/>
  <c r="Q37" i="45"/>
  <c r="A38" i="45"/>
  <c r="B38" i="45"/>
  <c r="N38" i="45"/>
  <c r="O38" i="45"/>
  <c r="P38" i="45"/>
  <c r="Q38" i="45"/>
  <c r="A39" i="45"/>
  <c r="B39" i="45"/>
  <c r="N39" i="45"/>
  <c r="O39" i="45"/>
  <c r="P39" i="45"/>
  <c r="Q39" i="45"/>
  <c r="A40" i="45"/>
  <c r="B40" i="45"/>
  <c r="N40" i="45"/>
  <c r="O40" i="45"/>
  <c r="P40" i="45"/>
  <c r="Q40" i="45"/>
  <c r="A41" i="45"/>
  <c r="B41" i="45"/>
  <c r="N41" i="45"/>
  <c r="O41" i="45"/>
  <c r="P41" i="45"/>
  <c r="Q41" i="45"/>
  <c r="A42" i="45"/>
  <c r="B42" i="45"/>
  <c r="N42" i="45"/>
  <c r="O42" i="45"/>
  <c r="P42" i="45"/>
  <c r="Q42" i="45"/>
  <c r="A43" i="45"/>
  <c r="B43" i="45"/>
  <c r="N43" i="45"/>
  <c r="O43" i="45"/>
  <c r="P43" i="45"/>
  <c r="Q43" i="45"/>
  <c r="A44" i="45"/>
  <c r="B44" i="45"/>
  <c r="N44" i="45"/>
  <c r="O44" i="45"/>
  <c r="P44" i="45"/>
  <c r="Q44" i="45"/>
  <c r="A45" i="45"/>
  <c r="B45" i="45"/>
  <c r="N45" i="45"/>
  <c r="O45" i="45"/>
  <c r="P45" i="45"/>
  <c r="Q45" i="45"/>
  <c r="A46" i="45"/>
  <c r="B46" i="45"/>
  <c r="N46" i="45"/>
  <c r="O46" i="45"/>
  <c r="P46" i="45"/>
  <c r="Q46" i="45"/>
  <c r="A47" i="45"/>
  <c r="B47" i="45"/>
  <c r="N47" i="45"/>
  <c r="O47" i="45"/>
  <c r="P47" i="45"/>
  <c r="Q47" i="45"/>
  <c r="A48" i="45"/>
  <c r="B48" i="45"/>
  <c r="N48" i="45"/>
  <c r="O48" i="45"/>
  <c r="P48" i="45"/>
  <c r="Q48" i="45"/>
  <c r="A49" i="45"/>
  <c r="B49" i="45"/>
  <c r="N49" i="45"/>
  <c r="O49" i="45"/>
  <c r="P49" i="45"/>
  <c r="Q49" i="45"/>
  <c r="A50" i="45"/>
  <c r="B50" i="45"/>
  <c r="N50" i="45"/>
  <c r="O50" i="45"/>
  <c r="P50" i="45"/>
  <c r="Q50" i="45"/>
  <c r="A51" i="45"/>
  <c r="B51" i="45"/>
  <c r="N51" i="45"/>
  <c r="O51" i="45"/>
  <c r="P51" i="45"/>
  <c r="Q51" i="45"/>
  <c r="A52" i="45"/>
  <c r="B52" i="45"/>
  <c r="N52" i="45"/>
  <c r="O52" i="45"/>
  <c r="P52" i="45"/>
  <c r="Q52" i="45"/>
  <c r="A53" i="45"/>
  <c r="B53" i="45"/>
  <c r="N53" i="45"/>
  <c r="O53" i="45"/>
  <c r="P53" i="45"/>
  <c r="Q53" i="45"/>
  <c r="A54" i="45"/>
  <c r="B54" i="45"/>
  <c r="N54" i="45"/>
  <c r="O54" i="45"/>
  <c r="P54" i="45"/>
  <c r="Q54" i="45"/>
  <c r="A55" i="45"/>
  <c r="B55" i="45"/>
  <c r="N55" i="45"/>
  <c r="O55" i="45"/>
  <c r="P55" i="45"/>
  <c r="Q55" i="45"/>
  <c r="A56" i="45"/>
  <c r="B56" i="45"/>
  <c r="N56" i="45"/>
  <c r="O56" i="45"/>
  <c r="P56" i="45"/>
  <c r="Q56" i="45"/>
  <c r="A57" i="45"/>
  <c r="B57" i="45"/>
  <c r="N57" i="45"/>
  <c r="O57" i="45"/>
  <c r="P57" i="45"/>
  <c r="Q57" i="45"/>
  <c r="A58" i="45"/>
  <c r="B58" i="45"/>
  <c r="N58" i="45"/>
  <c r="O58" i="45"/>
  <c r="P58" i="45"/>
  <c r="Q58" i="45"/>
  <c r="A59" i="45"/>
  <c r="B59" i="45"/>
  <c r="N59" i="45"/>
  <c r="O59" i="45"/>
  <c r="P59" i="45"/>
  <c r="Q59" i="45"/>
  <c r="A60" i="45"/>
  <c r="B60" i="45"/>
  <c r="N60" i="45"/>
  <c r="O60" i="45"/>
  <c r="P60" i="45"/>
  <c r="Q60" i="45"/>
  <c r="A61" i="45"/>
  <c r="B61" i="45"/>
  <c r="N61" i="45"/>
  <c r="O61" i="45"/>
  <c r="P61" i="45"/>
  <c r="Q61" i="45"/>
  <c r="A62" i="45"/>
  <c r="B62" i="45"/>
  <c r="N62" i="45"/>
  <c r="O62" i="45"/>
  <c r="P62" i="45"/>
  <c r="Q62" i="45"/>
  <c r="A63" i="45"/>
  <c r="B63" i="45"/>
  <c r="N63" i="45"/>
  <c r="O63" i="45"/>
  <c r="P63" i="45"/>
  <c r="Q63" i="45"/>
  <c r="A64" i="45"/>
  <c r="B64" i="45"/>
  <c r="N64" i="45"/>
  <c r="O64" i="45"/>
  <c r="P64" i="45"/>
  <c r="Q64" i="45"/>
  <c r="A65" i="45"/>
  <c r="B65" i="45"/>
  <c r="N65" i="45"/>
  <c r="O65" i="45"/>
  <c r="P65" i="45"/>
  <c r="Q65" i="45"/>
  <c r="A66" i="45"/>
  <c r="B66" i="45"/>
  <c r="N66" i="45"/>
  <c r="O66" i="45"/>
  <c r="P66" i="45"/>
  <c r="Q66" i="45"/>
  <c r="A67" i="45"/>
  <c r="B67" i="45"/>
  <c r="N67" i="45"/>
  <c r="O67" i="45"/>
  <c r="P67" i="45"/>
  <c r="Q67" i="45"/>
  <c r="A68" i="45"/>
  <c r="B68" i="45"/>
  <c r="N68" i="45"/>
  <c r="O68" i="45"/>
  <c r="P68" i="45"/>
  <c r="Q68" i="45"/>
  <c r="A69" i="45"/>
  <c r="B69" i="45"/>
  <c r="N69" i="45"/>
  <c r="O69" i="45"/>
  <c r="P69" i="45"/>
  <c r="Q69" i="45"/>
  <c r="A70" i="45"/>
  <c r="B70" i="45"/>
  <c r="N70" i="45"/>
  <c r="O70" i="45"/>
  <c r="P70" i="45"/>
  <c r="Q70" i="45"/>
  <c r="A71" i="45"/>
  <c r="B71" i="45"/>
  <c r="N71" i="45"/>
  <c r="O71" i="45"/>
  <c r="P71" i="45"/>
  <c r="Q71" i="45"/>
  <c r="A72" i="45"/>
  <c r="B72" i="45"/>
  <c r="N72" i="45"/>
  <c r="O72" i="45"/>
  <c r="P72" i="45"/>
  <c r="Q72" i="45"/>
  <c r="A73" i="45"/>
  <c r="B73" i="45"/>
  <c r="N73" i="45"/>
  <c r="O73" i="45"/>
  <c r="P73" i="45"/>
  <c r="Q73" i="45"/>
  <c r="A74" i="45"/>
  <c r="B74" i="45"/>
  <c r="N74" i="45"/>
  <c r="O74" i="45"/>
  <c r="P74" i="45"/>
  <c r="Q74" i="45"/>
  <c r="A75" i="45"/>
  <c r="B75" i="45"/>
  <c r="N75" i="45"/>
  <c r="O75" i="45"/>
  <c r="P75" i="45"/>
  <c r="Q75" i="45"/>
  <c r="A76" i="45"/>
  <c r="B76" i="45"/>
  <c r="N76" i="45"/>
  <c r="O76" i="45"/>
  <c r="P76" i="45"/>
  <c r="Q76" i="45"/>
  <c r="A77" i="45"/>
  <c r="B77" i="45"/>
  <c r="N77" i="45"/>
  <c r="O77" i="45"/>
  <c r="P77" i="45"/>
  <c r="Q77" i="45"/>
  <c r="A78" i="45"/>
  <c r="B78" i="45"/>
  <c r="N78" i="45"/>
  <c r="O78" i="45"/>
  <c r="P78" i="45"/>
  <c r="Q78" i="45"/>
  <c r="A79" i="45"/>
  <c r="B79" i="45"/>
  <c r="N79" i="45"/>
  <c r="O79" i="45"/>
  <c r="P79" i="45"/>
  <c r="Q79" i="45"/>
  <c r="A80" i="45"/>
  <c r="B80" i="45"/>
  <c r="N80" i="45"/>
  <c r="O80" i="45"/>
  <c r="P80" i="45"/>
  <c r="Q80" i="45"/>
  <c r="A81" i="45"/>
  <c r="B81" i="45"/>
  <c r="N81" i="45"/>
  <c r="O81" i="45"/>
  <c r="P81" i="45"/>
  <c r="Q81" i="45"/>
  <c r="A82" i="45"/>
  <c r="B82" i="45"/>
  <c r="N82" i="45"/>
  <c r="O82" i="45"/>
  <c r="P82" i="45"/>
  <c r="Q82" i="45"/>
  <c r="A83" i="45"/>
  <c r="B83" i="45"/>
  <c r="N83" i="45"/>
  <c r="O83" i="45"/>
  <c r="P83" i="45"/>
  <c r="Q83" i="45"/>
  <c r="A84" i="45"/>
  <c r="B84" i="45"/>
  <c r="N84" i="45"/>
  <c r="O84" i="45"/>
  <c r="P84" i="45"/>
  <c r="Q84" i="45"/>
  <c r="A85" i="45"/>
  <c r="B85" i="45"/>
  <c r="N85" i="45"/>
  <c r="O85" i="45"/>
  <c r="P85" i="45"/>
  <c r="Q85" i="45"/>
  <c r="A86" i="45"/>
  <c r="B86" i="45"/>
  <c r="N86" i="45"/>
  <c r="O86" i="45"/>
  <c r="P86" i="45"/>
  <c r="Q86" i="45"/>
  <c r="A87" i="45"/>
  <c r="B87" i="45"/>
  <c r="N87" i="45"/>
  <c r="O87" i="45"/>
  <c r="P87" i="45"/>
  <c r="Q87" i="45"/>
  <c r="A88" i="45"/>
  <c r="B88" i="45"/>
  <c r="N88" i="45"/>
  <c r="O88" i="45"/>
  <c r="P88" i="45"/>
  <c r="Q88" i="45"/>
  <c r="A89" i="45"/>
  <c r="B89" i="45"/>
  <c r="N89" i="45"/>
  <c r="O89" i="45"/>
  <c r="P89" i="45"/>
  <c r="Q89" i="45"/>
  <c r="A90" i="45"/>
  <c r="B90" i="45"/>
  <c r="N90" i="45"/>
  <c r="O90" i="45"/>
  <c r="P90" i="45"/>
  <c r="Q90" i="45"/>
  <c r="A91" i="45"/>
  <c r="B91" i="45"/>
  <c r="N91" i="45"/>
  <c r="O91" i="45"/>
  <c r="P91" i="45"/>
  <c r="Q91" i="45"/>
  <c r="A92" i="45"/>
  <c r="B92" i="45"/>
  <c r="N92" i="45"/>
  <c r="O92" i="45"/>
  <c r="P92" i="45"/>
  <c r="Q92" i="45"/>
  <c r="A93" i="45"/>
  <c r="B93" i="45"/>
  <c r="N93" i="45"/>
  <c r="O93" i="45"/>
  <c r="P93" i="45"/>
  <c r="Q93" i="45"/>
  <c r="A94" i="45"/>
  <c r="B94" i="45"/>
  <c r="N94" i="45"/>
  <c r="O94" i="45"/>
  <c r="P94" i="45"/>
  <c r="Q94" i="45"/>
  <c r="A95" i="45"/>
  <c r="B95" i="45"/>
  <c r="N95" i="45"/>
  <c r="O95" i="45"/>
  <c r="P95" i="45"/>
  <c r="Q95" i="45"/>
  <c r="A96" i="45"/>
  <c r="B96" i="45"/>
  <c r="N96" i="45"/>
  <c r="O96" i="45"/>
  <c r="P96" i="45"/>
  <c r="Q96" i="45"/>
  <c r="A97" i="45"/>
  <c r="B97" i="45"/>
  <c r="N97" i="45"/>
  <c r="O97" i="45"/>
  <c r="P97" i="45"/>
  <c r="Q97" i="45"/>
  <c r="A98" i="45"/>
  <c r="B98" i="45"/>
  <c r="N98" i="45"/>
  <c r="O98" i="45"/>
  <c r="P98" i="45"/>
  <c r="Q98" i="45"/>
  <c r="A99" i="45"/>
  <c r="B99" i="45"/>
  <c r="N99" i="45"/>
  <c r="O99" i="45"/>
  <c r="P99" i="45"/>
  <c r="Q99" i="45"/>
  <c r="A100" i="45"/>
  <c r="B100" i="45"/>
  <c r="N100" i="45"/>
  <c r="O100" i="45"/>
  <c r="P100" i="45"/>
  <c r="Q100" i="45"/>
  <c r="A101" i="45"/>
  <c r="B101" i="45"/>
  <c r="N101" i="45"/>
  <c r="O101" i="45"/>
  <c r="P101" i="45"/>
  <c r="Q101" i="45"/>
  <c r="A102" i="45"/>
  <c r="B102" i="45"/>
  <c r="N102" i="45"/>
  <c r="O102" i="45"/>
  <c r="P102" i="45"/>
  <c r="Q102" i="45"/>
  <c r="A103" i="45"/>
  <c r="B103" i="45"/>
  <c r="N103" i="45"/>
  <c r="O103" i="45"/>
  <c r="P103" i="45"/>
  <c r="Q103" i="45"/>
  <c r="A104" i="45"/>
  <c r="B104" i="45"/>
  <c r="N104" i="45"/>
  <c r="O104" i="45"/>
  <c r="P104" i="45"/>
  <c r="Q104" i="45"/>
  <c r="A105" i="45"/>
  <c r="B105" i="45"/>
  <c r="N105" i="45"/>
  <c r="O105" i="45"/>
  <c r="P105" i="45"/>
  <c r="Q105" i="45"/>
  <c r="A106" i="45"/>
  <c r="B106" i="45"/>
  <c r="N106" i="45"/>
  <c r="O106" i="45"/>
  <c r="P106" i="45"/>
  <c r="Q106" i="45"/>
  <c r="A107" i="45"/>
  <c r="B107" i="45"/>
  <c r="N107" i="45"/>
  <c r="O107" i="45"/>
  <c r="P107" i="45"/>
  <c r="Q107" i="45"/>
  <c r="A108" i="45"/>
  <c r="B108" i="45"/>
  <c r="N108" i="45"/>
  <c r="O108" i="45"/>
  <c r="P108" i="45"/>
  <c r="Q108" i="45"/>
  <c r="A109" i="45"/>
  <c r="B109" i="45"/>
  <c r="N109" i="45"/>
  <c r="O109" i="45"/>
  <c r="P109" i="45"/>
  <c r="Q109" i="45"/>
  <c r="A110" i="45"/>
  <c r="B110" i="45"/>
  <c r="N110" i="45"/>
  <c r="O110" i="45"/>
  <c r="P110" i="45"/>
  <c r="Q110" i="45"/>
  <c r="A111" i="45"/>
  <c r="B111" i="45"/>
  <c r="N111" i="45"/>
  <c r="O111" i="45"/>
  <c r="P111" i="45"/>
  <c r="Q111" i="45"/>
  <c r="A112" i="45"/>
  <c r="B112" i="45"/>
  <c r="N112" i="45"/>
  <c r="O112" i="45"/>
  <c r="P112" i="45"/>
  <c r="Q112" i="45"/>
  <c r="A113" i="45"/>
  <c r="B113" i="45"/>
  <c r="N113" i="45"/>
  <c r="O113" i="45"/>
  <c r="P113" i="45"/>
  <c r="Q113" i="45"/>
  <c r="A114" i="45"/>
  <c r="B114" i="45"/>
  <c r="N114" i="45"/>
  <c r="O114" i="45"/>
  <c r="P114" i="45"/>
  <c r="Q114" i="45"/>
  <c r="A115" i="45"/>
  <c r="B115" i="45"/>
  <c r="N115" i="45"/>
  <c r="O115" i="45"/>
  <c r="P115" i="45"/>
  <c r="Q115" i="45"/>
  <c r="A116" i="45"/>
  <c r="B116" i="45"/>
  <c r="N116" i="45"/>
  <c r="O116" i="45"/>
  <c r="P116" i="45"/>
  <c r="Q116" i="45"/>
  <c r="A117" i="45"/>
  <c r="B117" i="45"/>
  <c r="N117" i="45"/>
  <c r="O117" i="45"/>
  <c r="P117" i="45"/>
  <c r="Q117" i="45"/>
  <c r="A118" i="45"/>
  <c r="B118" i="45"/>
  <c r="N118" i="45"/>
  <c r="O118" i="45"/>
  <c r="P118" i="45"/>
  <c r="Q118" i="45"/>
  <c r="A119" i="45"/>
  <c r="B119" i="45"/>
  <c r="N119" i="45"/>
  <c r="O119" i="45"/>
  <c r="P119" i="45"/>
  <c r="Q119" i="45"/>
  <c r="A120" i="45"/>
  <c r="B120" i="45"/>
  <c r="N120" i="45"/>
  <c r="O120" i="45"/>
  <c r="P120" i="45"/>
  <c r="Q120" i="45"/>
  <c r="A121" i="45"/>
  <c r="B121" i="45"/>
  <c r="N121" i="45"/>
  <c r="O121" i="45"/>
  <c r="P121" i="45"/>
  <c r="Q121" i="45"/>
  <c r="A122" i="45"/>
  <c r="B122" i="45"/>
  <c r="N122" i="45"/>
  <c r="O122" i="45"/>
  <c r="P122" i="45"/>
  <c r="Q122" i="45"/>
  <c r="A123" i="45"/>
  <c r="B123" i="45"/>
  <c r="N123" i="45"/>
  <c r="O123" i="45"/>
  <c r="P123" i="45"/>
  <c r="Q123" i="45"/>
  <c r="A124" i="45"/>
  <c r="B124" i="45"/>
  <c r="N124" i="45"/>
  <c r="O124" i="45"/>
  <c r="P124" i="45"/>
  <c r="Q124" i="45"/>
  <c r="A125" i="45"/>
  <c r="B125" i="45"/>
  <c r="N125" i="45"/>
  <c r="O125" i="45"/>
  <c r="P125" i="45"/>
  <c r="Q125" i="45"/>
  <c r="A126" i="45"/>
  <c r="B126" i="45"/>
  <c r="N126" i="45"/>
  <c r="O126" i="45"/>
  <c r="P126" i="45"/>
  <c r="Q126" i="45"/>
  <c r="A127" i="45"/>
  <c r="B127" i="45"/>
  <c r="N127" i="45"/>
  <c r="O127" i="45"/>
  <c r="P127" i="45"/>
  <c r="Q127" i="45"/>
  <c r="A128" i="45"/>
  <c r="B128" i="45"/>
  <c r="N128" i="45"/>
  <c r="O128" i="45"/>
  <c r="P128" i="45"/>
  <c r="Q128" i="45"/>
  <c r="A129" i="45"/>
  <c r="B129" i="45"/>
  <c r="N129" i="45"/>
  <c r="O129" i="45"/>
  <c r="P129" i="45"/>
  <c r="Q129" i="45"/>
  <c r="A130" i="45"/>
  <c r="B130" i="45"/>
  <c r="N130" i="45"/>
  <c r="O130" i="45"/>
  <c r="P130" i="45"/>
  <c r="Q130" i="45"/>
  <c r="A131" i="45"/>
  <c r="B131" i="45"/>
  <c r="N131" i="45"/>
  <c r="O131" i="45"/>
  <c r="P131" i="45"/>
  <c r="Q131" i="45"/>
  <c r="A132" i="45"/>
  <c r="B132" i="45"/>
  <c r="N132" i="45"/>
  <c r="O132" i="45"/>
  <c r="P132" i="45"/>
  <c r="Q132" i="45"/>
  <c r="A133" i="45"/>
  <c r="B133" i="45"/>
  <c r="N133" i="45"/>
  <c r="O133" i="45"/>
  <c r="P133" i="45"/>
  <c r="Q133" i="45"/>
  <c r="A134" i="45"/>
  <c r="B134" i="45"/>
  <c r="N134" i="45"/>
  <c r="O134" i="45"/>
  <c r="P134" i="45"/>
  <c r="Q134" i="45"/>
  <c r="A135" i="45"/>
  <c r="B135" i="45"/>
  <c r="N135" i="45"/>
  <c r="O135" i="45"/>
  <c r="P135" i="45"/>
  <c r="Q135" i="45"/>
  <c r="A136" i="45"/>
  <c r="B136" i="45"/>
  <c r="N136" i="45"/>
  <c r="O136" i="45"/>
  <c r="P136" i="45"/>
  <c r="Q136" i="45"/>
  <c r="A137" i="45"/>
  <c r="B137" i="45"/>
  <c r="N137" i="45"/>
  <c r="O137" i="45"/>
  <c r="P137" i="45"/>
  <c r="Q137" i="45"/>
  <c r="A138" i="45"/>
  <c r="B138" i="45"/>
  <c r="N138" i="45"/>
  <c r="O138" i="45"/>
  <c r="P138" i="45"/>
  <c r="Q138" i="45"/>
  <c r="A139" i="45"/>
  <c r="B139" i="45"/>
  <c r="N139" i="45"/>
  <c r="O139" i="45"/>
  <c r="P139" i="45"/>
  <c r="Q139" i="45"/>
  <c r="A140" i="45"/>
  <c r="B140" i="45"/>
  <c r="N140" i="45"/>
  <c r="O140" i="45"/>
  <c r="P140" i="45"/>
  <c r="Q140" i="45"/>
  <c r="A141" i="45"/>
  <c r="B141" i="45"/>
  <c r="N141" i="45"/>
  <c r="O141" i="45"/>
  <c r="P141" i="45"/>
  <c r="Q141" i="45"/>
  <c r="A142" i="45"/>
  <c r="B142" i="45"/>
  <c r="N142" i="45"/>
  <c r="O142" i="45"/>
  <c r="P142" i="45"/>
  <c r="Q142" i="45"/>
  <c r="A143" i="45"/>
  <c r="B143" i="45"/>
  <c r="N143" i="45"/>
  <c r="O143" i="45"/>
  <c r="P143" i="45"/>
  <c r="Q143" i="45"/>
  <c r="A144" i="45"/>
  <c r="B144" i="45"/>
  <c r="N144" i="45"/>
  <c r="O144" i="45"/>
  <c r="P144" i="45"/>
  <c r="Q144" i="45"/>
  <c r="A145" i="45"/>
  <c r="B145" i="45"/>
  <c r="N145" i="45"/>
  <c r="O145" i="45"/>
  <c r="P145" i="45"/>
  <c r="Q145" i="45"/>
  <c r="A146" i="45"/>
  <c r="B146" i="45"/>
  <c r="N146" i="45"/>
  <c r="O146" i="45"/>
  <c r="P146" i="45"/>
  <c r="Q146" i="45"/>
  <c r="A147" i="45"/>
  <c r="B147" i="45"/>
  <c r="N147" i="45"/>
  <c r="O147" i="45"/>
  <c r="P147" i="45"/>
  <c r="Q147" i="45"/>
  <c r="A148" i="45"/>
  <c r="B148" i="45"/>
  <c r="N148" i="45"/>
  <c r="O148" i="45"/>
  <c r="P148" i="45"/>
  <c r="Q148" i="45"/>
  <c r="A149" i="45"/>
  <c r="B149" i="45"/>
  <c r="N149" i="45"/>
  <c r="O149" i="45"/>
  <c r="P149" i="45"/>
  <c r="Q149" i="45"/>
  <c r="A150" i="45"/>
  <c r="B150" i="45"/>
  <c r="N150" i="45"/>
  <c r="O150" i="45"/>
  <c r="P150" i="45"/>
  <c r="Q150" i="45"/>
  <c r="A151" i="45"/>
  <c r="B151" i="45"/>
  <c r="N151" i="45"/>
  <c r="O151" i="45"/>
  <c r="P151" i="45"/>
  <c r="Q151" i="45"/>
  <c r="A152" i="45"/>
  <c r="B152" i="45"/>
  <c r="N152" i="45"/>
  <c r="O152" i="45"/>
  <c r="P152" i="45"/>
  <c r="Q152" i="45"/>
  <c r="A153" i="45"/>
  <c r="B153" i="45"/>
  <c r="N153" i="45"/>
  <c r="O153" i="45"/>
  <c r="P153" i="45"/>
  <c r="Q153" i="45"/>
  <c r="A154" i="45"/>
  <c r="B154" i="45"/>
  <c r="N154" i="45"/>
  <c r="O154" i="45"/>
  <c r="P154" i="45"/>
  <c r="Q154" i="45"/>
  <c r="A155" i="45"/>
  <c r="B155" i="45"/>
  <c r="N155" i="45"/>
  <c r="O155" i="45"/>
  <c r="P155" i="45"/>
  <c r="Q155" i="45"/>
  <c r="A156" i="45"/>
  <c r="B156" i="45"/>
  <c r="N156" i="45"/>
  <c r="O156" i="45"/>
  <c r="P156" i="45"/>
  <c r="Q156" i="45"/>
  <c r="A157" i="45"/>
  <c r="B157" i="45"/>
  <c r="N157" i="45"/>
  <c r="O157" i="45"/>
  <c r="P157" i="45"/>
  <c r="Q157" i="45"/>
  <c r="A158" i="45"/>
  <c r="B158" i="45"/>
  <c r="N158" i="45"/>
  <c r="O158" i="45"/>
  <c r="P158" i="45"/>
  <c r="Q158" i="45"/>
  <c r="A159" i="45"/>
  <c r="B159" i="45"/>
  <c r="N159" i="45"/>
  <c r="O159" i="45"/>
  <c r="P159" i="45"/>
  <c r="Q159" i="45"/>
  <c r="A160" i="45"/>
  <c r="B160" i="45"/>
  <c r="N160" i="45"/>
  <c r="O160" i="45"/>
  <c r="P160" i="45"/>
  <c r="Q160" i="45"/>
  <c r="A161" i="45"/>
  <c r="B161" i="45"/>
  <c r="N161" i="45"/>
  <c r="O161" i="45"/>
  <c r="P161" i="45"/>
  <c r="Q161" i="45"/>
  <c r="A162" i="45"/>
  <c r="B162" i="45"/>
  <c r="N162" i="45"/>
  <c r="O162" i="45"/>
  <c r="P162" i="45"/>
  <c r="Q162" i="45"/>
  <c r="A163" i="45"/>
  <c r="B163" i="45"/>
  <c r="N163" i="45"/>
  <c r="O163" i="45"/>
  <c r="P163" i="45"/>
  <c r="Q163" i="45"/>
  <c r="A164" i="45"/>
  <c r="B164" i="45"/>
  <c r="N164" i="45"/>
  <c r="O164" i="45"/>
  <c r="P164" i="45"/>
  <c r="Q164" i="45"/>
  <c r="A165" i="45"/>
  <c r="B165" i="45"/>
  <c r="N165" i="45"/>
  <c r="O165" i="45"/>
  <c r="P165" i="45"/>
  <c r="Q165" i="45"/>
  <c r="A166" i="45"/>
  <c r="B166" i="45"/>
  <c r="N166" i="45"/>
  <c r="O166" i="45"/>
  <c r="P166" i="45"/>
  <c r="Q166" i="45"/>
  <c r="A167" i="45"/>
  <c r="B167" i="45"/>
  <c r="N167" i="45"/>
  <c r="O167" i="45"/>
  <c r="P167" i="45"/>
  <c r="Q167" i="45"/>
  <c r="A168" i="45"/>
  <c r="B168" i="45"/>
  <c r="N168" i="45"/>
  <c r="O168" i="45"/>
  <c r="P168" i="45"/>
  <c r="Q168" i="45"/>
  <c r="A169" i="45"/>
  <c r="B169" i="45"/>
  <c r="N169" i="45"/>
  <c r="O169" i="45"/>
  <c r="P169" i="45"/>
  <c r="Q169" i="45"/>
  <c r="A170" i="45"/>
  <c r="B170" i="45"/>
  <c r="N170" i="45"/>
  <c r="O170" i="45"/>
  <c r="P170" i="45"/>
  <c r="Q170" i="45"/>
  <c r="A171" i="45"/>
  <c r="B171" i="45"/>
  <c r="N171" i="45"/>
  <c r="O171" i="45"/>
  <c r="P171" i="45"/>
  <c r="Q171" i="45"/>
  <c r="A172" i="45"/>
  <c r="B172" i="45"/>
  <c r="N172" i="45"/>
  <c r="O172" i="45"/>
  <c r="P172" i="45"/>
  <c r="Q172" i="45"/>
  <c r="A173" i="45"/>
  <c r="B173" i="45"/>
  <c r="N173" i="45"/>
  <c r="O173" i="45"/>
  <c r="P173" i="45"/>
  <c r="Q173" i="45"/>
  <c r="A174" i="45"/>
  <c r="B174" i="45"/>
  <c r="N174" i="45"/>
  <c r="O174" i="45"/>
  <c r="P174" i="45"/>
  <c r="Q174" i="45"/>
  <c r="A175" i="45"/>
  <c r="B175" i="45"/>
  <c r="N175" i="45"/>
  <c r="O175" i="45"/>
  <c r="P175" i="45"/>
  <c r="Q175" i="45"/>
  <c r="A176" i="45"/>
  <c r="B176" i="45"/>
  <c r="N176" i="45"/>
  <c r="O176" i="45"/>
  <c r="P176" i="45"/>
  <c r="Q176" i="45"/>
  <c r="A177" i="45"/>
  <c r="B177" i="45"/>
  <c r="N177" i="45"/>
  <c r="O177" i="45"/>
  <c r="P177" i="45"/>
  <c r="Q177" i="45"/>
  <c r="A178" i="45"/>
  <c r="B178" i="45"/>
  <c r="N178" i="45"/>
  <c r="O178" i="45"/>
  <c r="P178" i="45"/>
  <c r="Q178" i="45"/>
  <c r="A179" i="45"/>
  <c r="B179" i="45"/>
  <c r="N179" i="45"/>
  <c r="O179" i="45"/>
  <c r="P179" i="45"/>
  <c r="Q179" i="45"/>
  <c r="A180" i="45"/>
  <c r="B180" i="45"/>
  <c r="N180" i="45"/>
  <c r="O180" i="45"/>
  <c r="P180" i="45"/>
  <c r="Q180" i="45"/>
  <c r="A181" i="45"/>
  <c r="B181" i="45"/>
  <c r="N181" i="45"/>
  <c r="O181" i="45"/>
  <c r="P181" i="45"/>
  <c r="Q181" i="45"/>
  <c r="A182" i="45"/>
  <c r="B182" i="45"/>
  <c r="N182" i="45"/>
  <c r="O182" i="45"/>
  <c r="P182" i="45"/>
  <c r="Q182" i="45"/>
  <c r="A183" i="45"/>
  <c r="B183" i="45"/>
  <c r="N183" i="45"/>
  <c r="O183" i="45"/>
  <c r="P183" i="45"/>
  <c r="Q183" i="45"/>
  <c r="A184" i="45"/>
  <c r="B184" i="45"/>
  <c r="N184" i="45"/>
  <c r="O184" i="45"/>
  <c r="P184" i="45"/>
  <c r="Q184" i="45"/>
  <c r="A185" i="45"/>
  <c r="B185" i="45"/>
  <c r="N185" i="45"/>
  <c r="O185" i="45"/>
  <c r="P185" i="45"/>
  <c r="Q185" i="45"/>
  <c r="A186" i="45"/>
  <c r="B186" i="45"/>
  <c r="N186" i="45"/>
  <c r="O186" i="45"/>
  <c r="P186" i="45"/>
  <c r="Q186" i="45"/>
  <c r="A187" i="45"/>
  <c r="B187" i="45"/>
  <c r="N187" i="45"/>
  <c r="O187" i="45"/>
  <c r="P187" i="45"/>
  <c r="Q187" i="45"/>
  <c r="A188" i="45"/>
  <c r="B188" i="45"/>
  <c r="N188" i="45"/>
  <c r="O188" i="45"/>
  <c r="P188" i="45"/>
  <c r="Q188" i="45"/>
  <c r="A189" i="45"/>
  <c r="B189" i="45"/>
  <c r="N189" i="45"/>
  <c r="O189" i="45"/>
  <c r="P189" i="45"/>
  <c r="Q189" i="45"/>
  <c r="A190" i="45"/>
  <c r="B190" i="45"/>
  <c r="N190" i="45"/>
  <c r="O190" i="45"/>
  <c r="P190" i="45"/>
  <c r="Q190" i="45"/>
  <c r="A191" i="45"/>
  <c r="B191" i="45"/>
  <c r="N191" i="45"/>
  <c r="O191" i="45"/>
  <c r="P191" i="45"/>
  <c r="Q191" i="45"/>
  <c r="A192" i="45"/>
  <c r="B192" i="45"/>
  <c r="N192" i="45"/>
  <c r="O192" i="45"/>
  <c r="P192" i="45"/>
  <c r="Q192" i="45"/>
  <c r="A193" i="45"/>
  <c r="B193" i="45"/>
  <c r="N193" i="45"/>
  <c r="O193" i="45"/>
  <c r="P193" i="45"/>
  <c r="Q193" i="45"/>
  <c r="A194" i="45"/>
  <c r="B194" i="45"/>
  <c r="N194" i="45"/>
  <c r="O194" i="45"/>
  <c r="P194" i="45"/>
  <c r="Q194" i="45"/>
  <c r="A195" i="45"/>
  <c r="B195" i="45"/>
  <c r="N195" i="45"/>
  <c r="O195" i="45"/>
  <c r="P195" i="45"/>
  <c r="Q195" i="45"/>
  <c r="A196" i="45"/>
  <c r="B196" i="45"/>
  <c r="N196" i="45"/>
  <c r="O196" i="45"/>
  <c r="P196" i="45"/>
  <c r="Q196" i="45"/>
  <c r="A197" i="45"/>
  <c r="B197" i="45"/>
  <c r="N197" i="45"/>
  <c r="O197" i="45"/>
  <c r="P197" i="45"/>
  <c r="Q197" i="45"/>
  <c r="A198" i="45"/>
  <c r="B198" i="45"/>
  <c r="N198" i="45"/>
  <c r="O198" i="45"/>
  <c r="P198" i="45"/>
  <c r="Q198" i="45"/>
  <c r="A199" i="45"/>
  <c r="B199" i="45"/>
  <c r="N199" i="45"/>
  <c r="O199" i="45"/>
  <c r="P199" i="45"/>
  <c r="Q199" i="45"/>
  <c r="A200" i="45"/>
  <c r="B200" i="45"/>
  <c r="N200" i="45"/>
  <c r="O200" i="45"/>
  <c r="P200" i="45"/>
  <c r="Q200" i="45"/>
  <c r="A201" i="45"/>
  <c r="B201" i="45"/>
  <c r="N201" i="45"/>
  <c r="O201" i="45"/>
  <c r="P201" i="45"/>
  <c r="Q201" i="45"/>
  <c r="A202" i="45"/>
  <c r="B202" i="45"/>
  <c r="N202" i="45"/>
  <c r="O202" i="45"/>
  <c r="P202" i="45"/>
  <c r="Q202" i="45"/>
  <c r="A203" i="45"/>
  <c r="B203" i="45"/>
  <c r="N203" i="45"/>
  <c r="O203" i="45"/>
  <c r="P203" i="45"/>
  <c r="Q203" i="45"/>
  <c r="A204" i="45"/>
  <c r="B204" i="45"/>
  <c r="N204" i="45"/>
  <c r="O204" i="45"/>
  <c r="P204" i="45"/>
  <c r="Q204" i="45"/>
  <c r="A205" i="45"/>
  <c r="B205" i="45"/>
  <c r="N205" i="45"/>
  <c r="O205" i="45"/>
  <c r="P205" i="45"/>
  <c r="Q205" i="45"/>
  <c r="A206" i="45"/>
  <c r="B206" i="45"/>
  <c r="N206" i="45"/>
  <c r="O206" i="45"/>
  <c r="P206" i="45"/>
  <c r="Q206" i="45"/>
  <c r="A207" i="45"/>
  <c r="B207" i="45"/>
  <c r="N207" i="45"/>
  <c r="O207" i="45"/>
  <c r="P207" i="45"/>
  <c r="Q207" i="45"/>
  <c r="A208" i="45"/>
  <c r="B208" i="45"/>
  <c r="N208" i="45"/>
  <c r="O208" i="45"/>
  <c r="P208" i="45"/>
  <c r="Q208" i="45"/>
  <c r="A209" i="45"/>
  <c r="B209" i="45"/>
  <c r="N209" i="45"/>
  <c r="O209" i="45"/>
  <c r="P209" i="45"/>
  <c r="Q209" i="45"/>
  <c r="A210" i="45"/>
  <c r="B210" i="45"/>
  <c r="N210" i="45"/>
  <c r="O210" i="45"/>
  <c r="P210" i="45"/>
  <c r="Q210" i="45"/>
  <c r="A211" i="45"/>
  <c r="B211" i="45"/>
  <c r="N211" i="45"/>
  <c r="O211" i="45"/>
  <c r="P211" i="45"/>
  <c r="Q211" i="45"/>
  <c r="A212" i="45"/>
  <c r="B212" i="45"/>
  <c r="N212" i="45"/>
  <c r="O212" i="45"/>
  <c r="P212" i="45"/>
  <c r="Q212" i="45"/>
  <c r="A213" i="45"/>
  <c r="B213" i="45"/>
  <c r="N213" i="45"/>
  <c r="O213" i="45"/>
  <c r="P213" i="45"/>
  <c r="Q213" i="45"/>
  <c r="A214" i="45"/>
  <c r="B214" i="45"/>
  <c r="N214" i="45"/>
  <c r="O214" i="45"/>
  <c r="P214" i="45"/>
  <c r="Q214" i="45"/>
  <c r="A215" i="45"/>
  <c r="B215" i="45"/>
  <c r="N215" i="45"/>
  <c r="O215" i="45"/>
  <c r="P215" i="45"/>
  <c r="Q215" i="45"/>
  <c r="A216" i="45"/>
  <c r="B216" i="45"/>
  <c r="N216" i="45"/>
  <c r="O216" i="45"/>
  <c r="P216" i="45"/>
  <c r="Q216" i="45"/>
  <c r="A217" i="45"/>
  <c r="B217" i="45"/>
  <c r="N217" i="45"/>
  <c r="O217" i="45"/>
  <c r="P217" i="45"/>
  <c r="Q217" i="45"/>
  <c r="A218" i="45"/>
  <c r="B218" i="45"/>
  <c r="N218" i="45"/>
  <c r="O218" i="45"/>
  <c r="P218" i="45"/>
  <c r="Q218" i="45"/>
  <c r="A219" i="45"/>
  <c r="B219" i="45"/>
  <c r="N219" i="45"/>
  <c r="O219" i="45"/>
  <c r="P219" i="45"/>
  <c r="Q219" i="45"/>
  <c r="A220" i="45"/>
  <c r="B220" i="45"/>
  <c r="N220" i="45"/>
  <c r="O220" i="45"/>
  <c r="P220" i="45"/>
  <c r="Q220" i="45"/>
  <c r="A221" i="45"/>
  <c r="B221" i="45"/>
  <c r="N221" i="45"/>
  <c r="O221" i="45"/>
  <c r="P221" i="45"/>
  <c r="Q221" i="45"/>
  <c r="A222" i="45"/>
  <c r="B222" i="45"/>
  <c r="N222" i="45"/>
  <c r="O222" i="45"/>
  <c r="P222" i="45"/>
  <c r="Q222" i="45"/>
  <c r="A223" i="45"/>
  <c r="B223" i="45"/>
  <c r="N223" i="45"/>
  <c r="O223" i="45"/>
  <c r="P223" i="45"/>
  <c r="Q223" i="45"/>
  <c r="A224" i="45"/>
  <c r="B224" i="45"/>
  <c r="N224" i="45"/>
  <c r="O224" i="45"/>
  <c r="P224" i="45"/>
  <c r="Q224" i="45"/>
  <c r="A225" i="45"/>
  <c r="B225" i="45"/>
  <c r="N225" i="45"/>
  <c r="O225" i="45"/>
  <c r="P225" i="45"/>
  <c r="Q225" i="45"/>
  <c r="A226" i="45"/>
  <c r="B226" i="45"/>
  <c r="N226" i="45"/>
  <c r="O226" i="45"/>
  <c r="P226" i="45"/>
  <c r="Q226" i="45"/>
  <c r="A227" i="45"/>
  <c r="B227" i="45"/>
  <c r="N227" i="45"/>
  <c r="O227" i="45"/>
  <c r="P227" i="45"/>
  <c r="Q227" i="45"/>
  <c r="A228" i="45"/>
  <c r="B228" i="45"/>
  <c r="N228" i="45"/>
  <c r="O228" i="45"/>
  <c r="P228" i="45"/>
  <c r="Q228" i="45"/>
  <c r="A229" i="45"/>
  <c r="B229" i="45"/>
  <c r="N229" i="45"/>
  <c r="O229" i="45"/>
  <c r="P229" i="45"/>
  <c r="Q229" i="45"/>
  <c r="A230" i="45"/>
  <c r="B230" i="45"/>
  <c r="N230" i="45"/>
  <c r="O230" i="45"/>
  <c r="P230" i="45"/>
  <c r="Q230" i="45"/>
  <c r="A231" i="45"/>
  <c r="B231" i="45"/>
  <c r="N231" i="45"/>
  <c r="O231" i="45"/>
  <c r="P231" i="45"/>
  <c r="Q231" i="45"/>
  <c r="A232" i="45"/>
  <c r="B232" i="45"/>
  <c r="N232" i="45"/>
  <c r="O232" i="45"/>
  <c r="P232" i="45"/>
  <c r="Q232" i="45"/>
  <c r="A233" i="45"/>
  <c r="B233" i="45"/>
  <c r="N233" i="45"/>
  <c r="O233" i="45"/>
  <c r="P233" i="45"/>
  <c r="Q233" i="45"/>
  <c r="A234" i="45"/>
  <c r="B234" i="45"/>
  <c r="N234" i="45"/>
  <c r="O234" i="45"/>
  <c r="P234" i="45"/>
  <c r="Q234" i="45"/>
  <c r="A235" i="45"/>
  <c r="B235" i="45"/>
  <c r="N235" i="45"/>
  <c r="O235" i="45"/>
  <c r="P235" i="45"/>
  <c r="Q235" i="45"/>
  <c r="A236" i="45"/>
  <c r="B236" i="45"/>
  <c r="N236" i="45"/>
  <c r="O236" i="45"/>
  <c r="P236" i="45"/>
  <c r="Q236" i="45"/>
  <c r="A237" i="45"/>
  <c r="B237" i="45"/>
  <c r="N237" i="45"/>
  <c r="O237" i="45"/>
  <c r="P237" i="45"/>
  <c r="Q237" i="45"/>
  <c r="A238" i="45"/>
  <c r="B238" i="45"/>
  <c r="N238" i="45"/>
  <c r="O238" i="45"/>
  <c r="P238" i="45"/>
  <c r="Q238" i="45"/>
  <c r="A239" i="45"/>
  <c r="B239" i="45"/>
  <c r="N239" i="45"/>
  <c r="O239" i="45"/>
  <c r="P239" i="45"/>
  <c r="Q239" i="45"/>
  <c r="A240" i="45"/>
  <c r="B240" i="45"/>
  <c r="N240" i="45"/>
  <c r="O240" i="45"/>
  <c r="P240" i="45"/>
  <c r="Q240" i="45"/>
  <c r="A241" i="45"/>
  <c r="B241" i="45"/>
  <c r="N241" i="45"/>
  <c r="O241" i="45"/>
  <c r="P241" i="45"/>
  <c r="Q241" i="45"/>
  <c r="A242" i="45"/>
  <c r="B242" i="45"/>
  <c r="N242" i="45"/>
  <c r="O242" i="45"/>
  <c r="P242" i="45"/>
  <c r="Q242" i="45"/>
  <c r="A243" i="45"/>
  <c r="B243" i="45"/>
  <c r="N243" i="45"/>
  <c r="O243" i="45"/>
  <c r="P243" i="45"/>
  <c r="Q243" i="45"/>
  <c r="A244" i="45"/>
  <c r="B244" i="45"/>
  <c r="N244" i="45"/>
  <c r="O244" i="45"/>
  <c r="P244" i="45"/>
  <c r="Q244" i="45"/>
  <c r="A245" i="45"/>
  <c r="B245" i="45"/>
  <c r="N245" i="45"/>
  <c r="O245" i="45"/>
  <c r="P245" i="45"/>
  <c r="Q245" i="45"/>
  <c r="A246" i="45"/>
  <c r="B246" i="45"/>
  <c r="N246" i="45"/>
  <c r="O246" i="45"/>
  <c r="P246" i="45"/>
  <c r="Q246" i="45"/>
  <c r="A247" i="45"/>
  <c r="B247" i="45"/>
  <c r="N247" i="45"/>
  <c r="O247" i="45"/>
  <c r="P247" i="45"/>
  <c r="Q247" i="45"/>
  <c r="A248" i="45"/>
  <c r="B248" i="45"/>
  <c r="N248" i="45"/>
  <c r="O248" i="45"/>
  <c r="P248" i="45"/>
  <c r="Q248" i="45"/>
  <c r="A249" i="45"/>
  <c r="B249" i="45"/>
  <c r="N249" i="45"/>
  <c r="O249" i="45"/>
  <c r="P249" i="45"/>
  <c r="Q249" i="45"/>
  <c r="A250" i="45"/>
  <c r="B250" i="45"/>
  <c r="N250" i="45"/>
  <c r="O250" i="45"/>
  <c r="P250" i="45"/>
  <c r="Q250" i="45"/>
  <c r="A251" i="45"/>
  <c r="B251" i="45"/>
  <c r="N251" i="45"/>
  <c r="O251" i="45"/>
  <c r="P251" i="45"/>
  <c r="Q251" i="45"/>
  <c r="A252" i="45"/>
  <c r="B252" i="45"/>
  <c r="N252" i="45"/>
  <c r="O252" i="45"/>
  <c r="P252" i="45"/>
  <c r="Q252" i="45"/>
  <c r="A253" i="45"/>
  <c r="B253" i="45"/>
  <c r="N253" i="45"/>
  <c r="O253" i="45"/>
  <c r="P253" i="45"/>
  <c r="Q253" i="45"/>
  <c r="A254" i="45"/>
  <c r="B254" i="45"/>
  <c r="N254" i="45"/>
  <c r="O254" i="45"/>
  <c r="P254" i="45"/>
  <c r="Q254" i="45"/>
  <c r="A255" i="45"/>
  <c r="B255" i="45"/>
  <c r="N255" i="45"/>
  <c r="O255" i="45"/>
  <c r="P255" i="45"/>
  <c r="Q255" i="45"/>
  <c r="A256" i="45"/>
  <c r="B256" i="45"/>
  <c r="N256" i="45"/>
  <c r="O256" i="45"/>
  <c r="P256" i="45"/>
  <c r="Q256" i="45"/>
  <c r="A257" i="45"/>
  <c r="B257" i="45"/>
  <c r="N257" i="45"/>
  <c r="O257" i="45"/>
  <c r="P257" i="45"/>
  <c r="Q257" i="45"/>
  <c r="A258" i="45"/>
  <c r="B258" i="45"/>
  <c r="N258" i="45"/>
  <c r="O258" i="45"/>
  <c r="P258" i="45"/>
  <c r="Q258" i="45"/>
  <c r="A259" i="45"/>
  <c r="B259" i="45"/>
  <c r="N259" i="45"/>
  <c r="O259" i="45"/>
  <c r="P259" i="45"/>
  <c r="Q259" i="45"/>
  <c r="A260" i="45"/>
  <c r="B260" i="45"/>
  <c r="N260" i="45"/>
  <c r="O260" i="45"/>
  <c r="P260" i="45"/>
  <c r="Q260" i="45"/>
  <c r="A261" i="45"/>
  <c r="B261" i="45"/>
  <c r="N261" i="45"/>
  <c r="O261" i="45"/>
  <c r="P261" i="45"/>
  <c r="Q261" i="45"/>
  <c r="A262" i="45"/>
  <c r="B262" i="45"/>
  <c r="N262" i="45"/>
  <c r="O262" i="45"/>
  <c r="P262" i="45"/>
  <c r="Q262" i="45"/>
  <c r="A263" i="45"/>
  <c r="B263" i="45"/>
  <c r="N263" i="45"/>
  <c r="O263" i="45"/>
  <c r="P263" i="45"/>
  <c r="Q263" i="45"/>
  <c r="A264" i="45"/>
  <c r="B264" i="45"/>
  <c r="N264" i="45"/>
  <c r="O264" i="45"/>
  <c r="P264" i="45"/>
  <c r="Q264" i="45"/>
  <c r="A265" i="45"/>
  <c r="B265" i="45"/>
  <c r="N265" i="45"/>
  <c r="O265" i="45"/>
  <c r="P265" i="45"/>
  <c r="Q265" i="45"/>
  <c r="A266" i="45"/>
  <c r="B266" i="45"/>
  <c r="N266" i="45"/>
  <c r="O266" i="45"/>
  <c r="P266" i="45"/>
  <c r="Q266" i="45"/>
  <c r="A267" i="45"/>
  <c r="B267" i="45"/>
  <c r="N267" i="45"/>
  <c r="O267" i="45"/>
  <c r="P267" i="45"/>
  <c r="Q267" i="45"/>
  <c r="A268" i="45"/>
  <c r="B268" i="45"/>
  <c r="N268" i="45"/>
  <c r="O268" i="45"/>
  <c r="P268" i="45"/>
  <c r="Q268" i="45"/>
  <c r="A269" i="45"/>
  <c r="B269" i="45"/>
  <c r="N269" i="45"/>
  <c r="O269" i="45"/>
  <c r="P269" i="45"/>
  <c r="Q269" i="45"/>
  <c r="A270" i="45"/>
  <c r="B270" i="45"/>
  <c r="N270" i="45"/>
  <c r="O270" i="45"/>
  <c r="P270" i="45"/>
  <c r="Q270" i="45"/>
  <c r="A271" i="45"/>
  <c r="B271" i="45"/>
  <c r="N271" i="45"/>
  <c r="O271" i="45"/>
  <c r="P271" i="45"/>
  <c r="Q271" i="45"/>
  <c r="A272" i="45"/>
  <c r="B272" i="45"/>
  <c r="N272" i="45"/>
  <c r="O272" i="45"/>
  <c r="P272" i="45"/>
  <c r="Q272" i="45"/>
  <c r="A273" i="45"/>
  <c r="B273" i="45"/>
  <c r="N273" i="45"/>
  <c r="O273" i="45"/>
  <c r="P273" i="45"/>
  <c r="Q273" i="45"/>
  <c r="A274" i="45"/>
  <c r="B274" i="45"/>
  <c r="N274" i="45"/>
  <c r="O274" i="45"/>
  <c r="P274" i="45"/>
  <c r="Q274" i="45"/>
  <c r="A275" i="45"/>
  <c r="B275" i="45"/>
  <c r="N275" i="45"/>
  <c r="O275" i="45"/>
  <c r="P275" i="45"/>
  <c r="Q275" i="45"/>
  <c r="A276" i="45"/>
  <c r="B276" i="45"/>
  <c r="N276" i="45"/>
  <c r="O276" i="45"/>
  <c r="P276" i="45"/>
  <c r="Q276" i="45"/>
  <c r="A277" i="45"/>
  <c r="B277" i="45"/>
  <c r="N277" i="45"/>
  <c r="O277" i="45"/>
  <c r="P277" i="45"/>
  <c r="Q277" i="45"/>
  <c r="A278" i="45"/>
  <c r="B278" i="45"/>
  <c r="N278" i="45"/>
  <c r="O278" i="45"/>
  <c r="P278" i="45"/>
  <c r="Q278" i="45"/>
  <c r="A279" i="45"/>
  <c r="B279" i="45"/>
  <c r="N279" i="45"/>
  <c r="O279" i="45"/>
  <c r="P279" i="45"/>
  <c r="Q279" i="45"/>
  <c r="A280" i="45"/>
  <c r="B280" i="45"/>
  <c r="N280" i="45"/>
  <c r="O280" i="45"/>
  <c r="P280" i="45"/>
  <c r="Q280" i="45"/>
  <c r="A281" i="45"/>
  <c r="B281" i="45"/>
  <c r="N281" i="45"/>
  <c r="O281" i="45"/>
  <c r="P281" i="45"/>
  <c r="Q281" i="45"/>
  <c r="A282" i="45"/>
  <c r="B282" i="45"/>
  <c r="N282" i="45"/>
  <c r="O282" i="45"/>
  <c r="P282" i="45"/>
  <c r="Q282" i="45"/>
  <c r="A283" i="45"/>
  <c r="B283" i="45"/>
  <c r="N283" i="45"/>
  <c r="O283" i="45"/>
  <c r="P283" i="45"/>
  <c r="Q283" i="45"/>
  <c r="A284" i="45"/>
  <c r="B284" i="45"/>
  <c r="N284" i="45"/>
  <c r="O284" i="45"/>
  <c r="P284" i="45"/>
  <c r="Q284" i="45"/>
  <c r="A285" i="45"/>
  <c r="B285" i="45"/>
  <c r="N285" i="45"/>
  <c r="O285" i="45"/>
  <c r="P285" i="45"/>
  <c r="Q285" i="45"/>
  <c r="A286" i="45"/>
  <c r="B286" i="45"/>
  <c r="N286" i="45"/>
  <c r="O286" i="45"/>
  <c r="P286" i="45"/>
  <c r="Q286" i="45"/>
  <c r="A287" i="45"/>
  <c r="B287" i="45"/>
  <c r="N287" i="45"/>
  <c r="O287" i="45"/>
  <c r="P287" i="45"/>
  <c r="Q287" i="45"/>
  <c r="A288" i="45"/>
  <c r="B288" i="45"/>
  <c r="N288" i="45"/>
  <c r="O288" i="45"/>
  <c r="P288" i="45"/>
  <c r="Q288" i="45"/>
  <c r="A289" i="45"/>
  <c r="B289" i="45"/>
  <c r="N289" i="45"/>
  <c r="O289" i="45"/>
  <c r="P289" i="45"/>
  <c r="Q289" i="45"/>
  <c r="A290" i="45"/>
  <c r="B290" i="45"/>
  <c r="N290" i="45"/>
  <c r="O290" i="45"/>
  <c r="P290" i="45"/>
  <c r="Q290" i="45"/>
  <c r="A291" i="45"/>
  <c r="B291" i="45"/>
  <c r="N291" i="45"/>
  <c r="O291" i="45"/>
  <c r="P291" i="45"/>
  <c r="Q291" i="45"/>
  <c r="A292" i="45"/>
  <c r="B292" i="45"/>
  <c r="N292" i="45"/>
  <c r="O292" i="45"/>
  <c r="P292" i="45"/>
  <c r="Q292" i="45"/>
  <c r="A293" i="45"/>
  <c r="B293" i="45"/>
  <c r="N293" i="45"/>
  <c r="O293" i="45"/>
  <c r="P293" i="45"/>
  <c r="Q293" i="45"/>
  <c r="A294" i="45"/>
  <c r="B294" i="45"/>
  <c r="N294" i="45"/>
  <c r="O294" i="45"/>
  <c r="P294" i="45"/>
  <c r="Q294" i="45"/>
  <c r="A295" i="45"/>
  <c r="B295" i="45"/>
  <c r="N295" i="45"/>
  <c r="O295" i="45"/>
  <c r="P295" i="45"/>
  <c r="Q295" i="45"/>
  <c r="A296" i="45"/>
  <c r="B296" i="45"/>
  <c r="N296" i="45"/>
  <c r="O296" i="45"/>
  <c r="P296" i="45"/>
  <c r="Q296" i="45"/>
  <c r="A297" i="45"/>
  <c r="B297" i="45"/>
  <c r="N297" i="45"/>
  <c r="O297" i="45"/>
  <c r="P297" i="45"/>
  <c r="Q297" i="45"/>
  <c r="A298" i="45"/>
  <c r="B298" i="45"/>
  <c r="N298" i="45"/>
  <c r="O298" i="45"/>
  <c r="P298" i="45"/>
  <c r="Q298" i="45"/>
  <c r="A299" i="45"/>
  <c r="B299" i="45"/>
  <c r="N299" i="45"/>
  <c r="O299" i="45"/>
  <c r="P299" i="45"/>
  <c r="Q299" i="45"/>
  <c r="A300" i="45"/>
  <c r="B300" i="45"/>
  <c r="N300" i="45"/>
  <c r="O300" i="45"/>
  <c r="P300" i="45"/>
  <c r="Q300" i="45"/>
  <c r="A301" i="45"/>
  <c r="B301" i="45"/>
  <c r="N301" i="45"/>
  <c r="O301" i="45"/>
  <c r="P301" i="45"/>
  <c r="Q301" i="45"/>
  <c r="A302" i="45"/>
  <c r="B302" i="45"/>
  <c r="N302" i="45"/>
  <c r="O302" i="45"/>
  <c r="P302" i="45"/>
  <c r="Q302" i="45"/>
  <c r="A303" i="45"/>
  <c r="B303" i="45"/>
  <c r="N303" i="45"/>
  <c r="O303" i="45"/>
  <c r="P303" i="45"/>
  <c r="Q303" i="45"/>
  <c r="A304" i="45"/>
  <c r="B304" i="45"/>
  <c r="N304" i="45"/>
  <c r="O304" i="45"/>
  <c r="P304" i="45"/>
  <c r="Q304" i="45"/>
  <c r="A305" i="45"/>
  <c r="B305" i="45"/>
  <c r="N305" i="45"/>
  <c r="O305" i="45"/>
  <c r="P305" i="45"/>
  <c r="Q305" i="45"/>
  <c r="A306" i="45"/>
  <c r="B306" i="45"/>
  <c r="N306" i="45"/>
  <c r="O306" i="45"/>
  <c r="P306" i="45"/>
  <c r="Q306" i="45"/>
  <c r="A307" i="45"/>
  <c r="B307" i="45"/>
  <c r="N307" i="45"/>
  <c r="O307" i="45"/>
  <c r="P307" i="45"/>
  <c r="Q307" i="45"/>
  <c r="A308" i="45"/>
  <c r="B308" i="45"/>
  <c r="N308" i="45"/>
  <c r="O308" i="45"/>
  <c r="P308" i="45"/>
  <c r="Q308" i="45"/>
  <c r="A309" i="45"/>
  <c r="B309" i="45"/>
  <c r="N309" i="45"/>
  <c r="O309" i="45"/>
  <c r="P309" i="45"/>
  <c r="Q309" i="45"/>
  <c r="A310" i="45"/>
  <c r="B310" i="45"/>
  <c r="N310" i="45"/>
  <c r="O310" i="45"/>
  <c r="P310" i="45"/>
  <c r="Q310" i="45"/>
  <c r="A311" i="45"/>
  <c r="B311" i="45"/>
  <c r="N311" i="45"/>
  <c r="O311" i="45"/>
  <c r="P311" i="45"/>
  <c r="Q311" i="45"/>
  <c r="A312" i="45"/>
  <c r="B312" i="45"/>
  <c r="N312" i="45"/>
  <c r="O312" i="45"/>
  <c r="P312" i="45"/>
  <c r="Q312" i="45"/>
  <c r="A313" i="45"/>
  <c r="B313" i="45"/>
  <c r="N313" i="45"/>
  <c r="O313" i="45"/>
  <c r="P313" i="45"/>
  <c r="Q313" i="45"/>
  <c r="A314" i="45"/>
  <c r="B314" i="45"/>
  <c r="N314" i="45"/>
  <c r="O314" i="45"/>
  <c r="P314" i="45"/>
  <c r="Q314" i="45"/>
  <c r="A315" i="45"/>
  <c r="B315" i="45"/>
  <c r="N315" i="45"/>
  <c r="O315" i="45"/>
  <c r="P315" i="45"/>
  <c r="Q315" i="45"/>
  <c r="A316" i="45"/>
  <c r="B316" i="45"/>
  <c r="N316" i="45"/>
  <c r="O316" i="45"/>
  <c r="P316" i="45"/>
  <c r="Q316" i="45"/>
  <c r="A317" i="45"/>
  <c r="B317" i="45"/>
  <c r="N317" i="45"/>
  <c r="O317" i="45"/>
  <c r="P317" i="45"/>
  <c r="Q317" i="45"/>
  <c r="A318" i="45"/>
  <c r="B318" i="45"/>
  <c r="N318" i="45"/>
  <c r="O318" i="45"/>
  <c r="P318" i="45"/>
  <c r="Q318" i="45"/>
  <c r="A319" i="45"/>
  <c r="B319" i="45"/>
  <c r="N319" i="45"/>
  <c r="O319" i="45"/>
  <c r="P319" i="45"/>
  <c r="Q319" i="45"/>
  <c r="A320" i="45"/>
  <c r="B320" i="45"/>
  <c r="N320" i="45"/>
  <c r="O320" i="45"/>
  <c r="P320" i="45"/>
  <c r="Q320" i="45"/>
  <c r="A321" i="45"/>
  <c r="B321" i="45"/>
  <c r="N321" i="45"/>
  <c r="O321" i="45"/>
  <c r="P321" i="45"/>
  <c r="Q321" i="45"/>
  <c r="A322" i="45"/>
  <c r="B322" i="45"/>
  <c r="N322" i="45"/>
  <c r="O322" i="45"/>
  <c r="P322" i="45"/>
  <c r="Q322" i="45"/>
  <c r="A323" i="45"/>
  <c r="B323" i="45"/>
  <c r="N323" i="45"/>
  <c r="O323" i="45"/>
  <c r="P323" i="45"/>
  <c r="Q323" i="45"/>
  <c r="A324" i="45"/>
  <c r="B324" i="45"/>
  <c r="N324" i="45"/>
  <c r="O324" i="45"/>
  <c r="P324" i="45"/>
  <c r="Q324" i="45"/>
  <c r="A325" i="45"/>
  <c r="B325" i="45"/>
  <c r="N325" i="45"/>
  <c r="O325" i="45"/>
  <c r="P325" i="45"/>
  <c r="Q325" i="45"/>
  <c r="A326" i="45"/>
  <c r="B326" i="45"/>
  <c r="N326" i="45"/>
  <c r="O326" i="45"/>
  <c r="P326" i="45"/>
  <c r="Q326" i="45"/>
  <c r="A327" i="45"/>
  <c r="B327" i="45"/>
  <c r="N327" i="45"/>
  <c r="O327" i="45"/>
  <c r="P327" i="45"/>
  <c r="Q327" i="45"/>
  <c r="A328" i="45"/>
  <c r="B328" i="45"/>
  <c r="N328" i="45"/>
  <c r="O328" i="45"/>
  <c r="P328" i="45"/>
  <c r="Q328" i="45"/>
  <c r="A329" i="45"/>
  <c r="B329" i="45"/>
  <c r="N329" i="45"/>
  <c r="O329" i="45"/>
  <c r="P329" i="45"/>
  <c r="Q329" i="45"/>
  <c r="A330" i="45"/>
  <c r="B330" i="45"/>
  <c r="N330" i="45"/>
  <c r="O330" i="45"/>
  <c r="P330" i="45"/>
  <c r="Q330" i="45"/>
  <c r="A331" i="45"/>
  <c r="B331" i="45"/>
  <c r="N331" i="45"/>
  <c r="O331" i="45"/>
  <c r="P331" i="45"/>
  <c r="Q331" i="45"/>
  <c r="A332" i="45"/>
  <c r="B332" i="45"/>
  <c r="N332" i="45"/>
  <c r="O332" i="45"/>
  <c r="P332" i="45"/>
  <c r="Q332" i="45"/>
  <c r="A333" i="45"/>
  <c r="B333" i="45"/>
  <c r="N333" i="45"/>
  <c r="O333" i="45"/>
  <c r="P333" i="45"/>
  <c r="Q333" i="45"/>
  <c r="A334" i="45"/>
  <c r="B334" i="45"/>
  <c r="N334" i="45"/>
  <c r="O334" i="45"/>
  <c r="P334" i="45"/>
  <c r="Q334" i="45"/>
  <c r="A335" i="45"/>
  <c r="B335" i="45"/>
  <c r="N335" i="45"/>
  <c r="O335" i="45"/>
  <c r="P335" i="45"/>
  <c r="Q335" i="45"/>
  <c r="A336" i="45"/>
  <c r="B336" i="45"/>
  <c r="N336" i="45"/>
  <c r="O336" i="45"/>
  <c r="P336" i="45"/>
  <c r="Q336" i="45"/>
  <c r="A337" i="45"/>
  <c r="B337" i="45"/>
  <c r="N337" i="45"/>
  <c r="O337" i="45"/>
  <c r="P337" i="45"/>
  <c r="Q337" i="45"/>
  <c r="A338" i="45"/>
  <c r="B338" i="45"/>
  <c r="N338" i="45"/>
  <c r="O338" i="45"/>
  <c r="P338" i="45"/>
  <c r="Q338" i="45"/>
  <c r="A339" i="45"/>
  <c r="B339" i="45"/>
  <c r="N339" i="45"/>
  <c r="O339" i="45"/>
  <c r="P339" i="45"/>
  <c r="Q339" i="45"/>
  <c r="A340" i="45"/>
  <c r="B340" i="45"/>
  <c r="N340" i="45"/>
  <c r="O340" i="45"/>
  <c r="P340" i="45"/>
  <c r="Q340" i="45"/>
  <c r="A341" i="45"/>
  <c r="B341" i="45"/>
  <c r="N341" i="45"/>
  <c r="O341" i="45"/>
  <c r="P341" i="45"/>
  <c r="Q341" i="45"/>
  <c r="A342" i="45"/>
  <c r="B342" i="45"/>
  <c r="N342" i="45"/>
  <c r="O342" i="45"/>
  <c r="P342" i="45"/>
  <c r="Q342" i="45"/>
  <c r="A343" i="45"/>
  <c r="B343" i="45"/>
  <c r="N343" i="45"/>
  <c r="O343" i="45"/>
  <c r="P343" i="45"/>
  <c r="Q343" i="45"/>
  <c r="A344" i="45"/>
  <c r="B344" i="45"/>
  <c r="N344" i="45"/>
  <c r="O344" i="45"/>
  <c r="P344" i="45"/>
  <c r="Q344" i="45"/>
  <c r="A345" i="45"/>
  <c r="B345" i="45"/>
  <c r="N345" i="45"/>
  <c r="O345" i="45"/>
  <c r="P345" i="45"/>
  <c r="Q345" i="45"/>
  <c r="A346" i="45"/>
  <c r="B346" i="45"/>
  <c r="N346" i="45"/>
  <c r="O346" i="45"/>
  <c r="P346" i="45"/>
  <c r="Q346" i="45"/>
  <c r="A347" i="45"/>
  <c r="B347" i="45"/>
  <c r="N347" i="45"/>
  <c r="O347" i="45"/>
  <c r="P347" i="45"/>
  <c r="Q347" i="45"/>
  <c r="A348" i="45"/>
  <c r="B348" i="45"/>
  <c r="N348" i="45"/>
  <c r="O348" i="45"/>
  <c r="P348" i="45"/>
  <c r="Q348" i="45"/>
  <c r="A349" i="45"/>
  <c r="B349" i="45"/>
  <c r="N349" i="45"/>
  <c r="O349" i="45"/>
  <c r="P349" i="45"/>
  <c r="Q349" i="45"/>
  <c r="A350" i="45"/>
  <c r="B350" i="45"/>
  <c r="N350" i="45"/>
  <c r="O350" i="45"/>
  <c r="P350" i="45"/>
  <c r="Q350" i="45"/>
  <c r="A351" i="45"/>
  <c r="B351" i="45"/>
  <c r="N351" i="45"/>
  <c r="O351" i="45"/>
  <c r="P351" i="45"/>
  <c r="Q351" i="45"/>
  <c r="A352" i="45"/>
  <c r="B352" i="45"/>
  <c r="N352" i="45"/>
  <c r="O352" i="45"/>
  <c r="P352" i="45"/>
  <c r="Q352" i="45"/>
  <c r="A353" i="45"/>
  <c r="B353" i="45"/>
  <c r="N353" i="45"/>
  <c r="O353" i="45"/>
  <c r="P353" i="45"/>
  <c r="Q353" i="45"/>
  <c r="A354" i="45"/>
  <c r="B354" i="45"/>
  <c r="N354" i="45"/>
  <c r="O354" i="45"/>
  <c r="P354" i="45"/>
  <c r="Q354" i="45"/>
  <c r="A355" i="45"/>
  <c r="B355" i="45"/>
  <c r="N355" i="45"/>
  <c r="O355" i="45"/>
  <c r="P355" i="45"/>
  <c r="Q355" i="45"/>
  <c r="A356" i="45"/>
  <c r="B356" i="45"/>
  <c r="N356" i="45"/>
  <c r="O356" i="45"/>
  <c r="P356" i="45"/>
  <c r="Q356" i="45"/>
  <c r="A357" i="45"/>
  <c r="B357" i="45"/>
  <c r="N357" i="45"/>
  <c r="O357" i="45"/>
  <c r="P357" i="45"/>
  <c r="Q357" i="45"/>
  <c r="A358" i="45"/>
  <c r="B358" i="45"/>
  <c r="N358" i="45"/>
  <c r="O358" i="45"/>
  <c r="P358" i="45"/>
  <c r="Q358" i="45"/>
  <c r="A359" i="45"/>
  <c r="B359" i="45"/>
  <c r="N359" i="45"/>
  <c r="O359" i="45"/>
  <c r="P359" i="45"/>
  <c r="Q359" i="45"/>
  <c r="A360" i="45"/>
  <c r="B360" i="45"/>
  <c r="N360" i="45"/>
  <c r="O360" i="45"/>
  <c r="P360" i="45"/>
  <c r="Q360" i="45"/>
  <c r="A361" i="45"/>
  <c r="B361" i="45"/>
  <c r="N361" i="45"/>
  <c r="O361" i="45"/>
  <c r="P361" i="45"/>
  <c r="Q361" i="45"/>
  <c r="A362" i="45"/>
  <c r="B362" i="45"/>
  <c r="N362" i="45"/>
  <c r="O362" i="45"/>
  <c r="P362" i="45"/>
  <c r="Q362" i="45"/>
  <c r="A363" i="45"/>
  <c r="B363" i="45"/>
  <c r="N363" i="45"/>
  <c r="O363" i="45"/>
  <c r="P363" i="45"/>
  <c r="Q363" i="45"/>
  <c r="A364" i="45"/>
  <c r="B364" i="45"/>
  <c r="N364" i="45"/>
  <c r="O364" i="45"/>
  <c r="P364" i="45"/>
  <c r="Q364" i="45"/>
  <c r="A365" i="45"/>
  <c r="B365" i="45"/>
  <c r="N365" i="45"/>
  <c r="O365" i="45"/>
  <c r="P365" i="45"/>
  <c r="Q365" i="45"/>
  <c r="A366" i="45"/>
  <c r="B366" i="45"/>
  <c r="N366" i="45"/>
  <c r="O366" i="45"/>
  <c r="P366" i="45"/>
  <c r="Q366" i="45"/>
  <c r="A367" i="45"/>
  <c r="B367" i="45"/>
  <c r="N367" i="45"/>
  <c r="O367" i="45"/>
  <c r="P367" i="45"/>
  <c r="Q367" i="45"/>
  <c r="A368" i="45"/>
  <c r="B368" i="45"/>
  <c r="N368" i="45"/>
  <c r="O368" i="45"/>
  <c r="P368" i="45"/>
  <c r="Q368" i="45"/>
  <c r="A369" i="45"/>
  <c r="B369" i="45"/>
  <c r="N369" i="45"/>
  <c r="O369" i="45"/>
  <c r="P369" i="45"/>
  <c r="Q369" i="45"/>
  <c r="A370" i="45"/>
  <c r="B370" i="45"/>
  <c r="N370" i="45"/>
  <c r="O370" i="45"/>
  <c r="P370" i="45"/>
  <c r="Q370" i="45"/>
  <c r="A371" i="45"/>
  <c r="B371" i="45"/>
  <c r="N371" i="45"/>
  <c r="O371" i="45"/>
  <c r="P371" i="45"/>
  <c r="Q371" i="45"/>
  <c r="A372" i="45"/>
  <c r="B372" i="45"/>
  <c r="N372" i="45"/>
  <c r="O372" i="45"/>
  <c r="P372" i="45"/>
  <c r="Q372" i="45"/>
  <c r="A373" i="45"/>
  <c r="B373" i="45"/>
  <c r="N373" i="45"/>
  <c r="O373" i="45"/>
  <c r="P373" i="45"/>
  <c r="Q373" i="45"/>
  <c r="A374" i="45"/>
  <c r="B374" i="45"/>
  <c r="N374" i="45"/>
  <c r="O374" i="45"/>
  <c r="P374" i="45"/>
  <c r="Q374" i="45"/>
  <c r="A375" i="45"/>
  <c r="B375" i="45"/>
  <c r="N375" i="45"/>
  <c r="O375" i="45"/>
  <c r="P375" i="45"/>
  <c r="Q375" i="45"/>
  <c r="A376" i="45"/>
  <c r="B376" i="45"/>
  <c r="N376" i="45"/>
  <c r="O376" i="45"/>
  <c r="P376" i="45"/>
  <c r="Q376" i="45"/>
  <c r="A377" i="45"/>
  <c r="B377" i="45"/>
  <c r="N377" i="45"/>
  <c r="O377" i="45"/>
  <c r="P377" i="45"/>
  <c r="Q377" i="45"/>
  <c r="A378" i="45"/>
  <c r="B378" i="45"/>
  <c r="N378" i="45"/>
  <c r="O378" i="45"/>
  <c r="P378" i="45"/>
  <c r="Q378" i="45"/>
  <c r="A379" i="45"/>
  <c r="B379" i="45"/>
  <c r="N379" i="45"/>
  <c r="O379" i="45"/>
  <c r="P379" i="45"/>
  <c r="Q379" i="45"/>
  <c r="A380" i="45"/>
  <c r="B380" i="45"/>
  <c r="N380" i="45"/>
  <c r="O380" i="45"/>
  <c r="P380" i="45"/>
  <c r="Q380" i="45"/>
  <c r="A381" i="45"/>
  <c r="B381" i="45"/>
  <c r="N381" i="45"/>
  <c r="O381" i="45"/>
  <c r="P381" i="45"/>
  <c r="Q381" i="45"/>
  <c r="A382" i="45"/>
  <c r="B382" i="45"/>
  <c r="N382" i="45"/>
  <c r="O382" i="45"/>
  <c r="P382" i="45"/>
  <c r="Q382" i="45"/>
  <c r="A383" i="45"/>
  <c r="B383" i="45"/>
  <c r="N383" i="45"/>
  <c r="O383" i="45"/>
  <c r="P383" i="45"/>
  <c r="Q383" i="45"/>
  <c r="A384" i="45"/>
  <c r="B384" i="45"/>
  <c r="N384" i="45"/>
  <c r="O384" i="45"/>
  <c r="P384" i="45"/>
  <c r="Q384" i="45"/>
  <c r="A385" i="45"/>
  <c r="B385" i="45"/>
  <c r="N385" i="45"/>
  <c r="O385" i="45"/>
  <c r="P385" i="45"/>
  <c r="Q385" i="45"/>
  <c r="A386" i="45"/>
  <c r="B386" i="45"/>
  <c r="N386" i="45"/>
  <c r="O386" i="45"/>
  <c r="P386" i="45"/>
  <c r="Q386" i="45"/>
  <c r="A387" i="45"/>
  <c r="B387" i="45"/>
  <c r="N387" i="45"/>
  <c r="O387" i="45"/>
  <c r="P387" i="45"/>
  <c r="Q387" i="45"/>
  <c r="A388" i="45"/>
  <c r="B388" i="45"/>
  <c r="N388" i="45"/>
  <c r="O388" i="45"/>
  <c r="P388" i="45"/>
  <c r="Q388" i="45"/>
  <c r="A389" i="45"/>
  <c r="B389" i="45"/>
  <c r="N389" i="45"/>
  <c r="O389" i="45"/>
  <c r="P389" i="45"/>
  <c r="Q389" i="45"/>
  <c r="A390" i="45"/>
  <c r="B390" i="45"/>
  <c r="N390" i="45"/>
  <c r="O390" i="45"/>
  <c r="P390" i="45"/>
  <c r="Q390" i="45"/>
  <c r="A391" i="45"/>
  <c r="B391" i="45"/>
  <c r="N391" i="45"/>
  <c r="O391" i="45"/>
  <c r="P391" i="45"/>
  <c r="Q391" i="45"/>
  <c r="A392" i="45"/>
  <c r="B392" i="45"/>
  <c r="N392" i="45"/>
  <c r="O392" i="45"/>
  <c r="P392" i="45"/>
  <c r="Q392" i="45"/>
  <c r="A393" i="45"/>
  <c r="B393" i="45"/>
  <c r="N393" i="45"/>
  <c r="O393" i="45"/>
  <c r="P393" i="45"/>
  <c r="Q393" i="45"/>
  <c r="A394" i="45"/>
  <c r="B394" i="45"/>
  <c r="N394" i="45"/>
  <c r="O394" i="45"/>
  <c r="P394" i="45"/>
  <c r="Q394" i="45"/>
  <c r="A395" i="45"/>
  <c r="B395" i="45"/>
  <c r="N395" i="45"/>
  <c r="O395" i="45"/>
  <c r="P395" i="45"/>
  <c r="Q395" i="45"/>
  <c r="A396" i="45"/>
  <c r="B396" i="45"/>
  <c r="N396" i="45"/>
  <c r="O396" i="45"/>
  <c r="P396" i="45"/>
  <c r="Q396" i="45"/>
  <c r="A397" i="45"/>
  <c r="B397" i="45"/>
  <c r="N397" i="45"/>
  <c r="O397" i="45"/>
  <c r="P397" i="45"/>
  <c r="Q397" i="45"/>
  <c r="A398" i="45"/>
  <c r="B398" i="45"/>
  <c r="N398" i="45"/>
  <c r="O398" i="45"/>
  <c r="P398" i="45"/>
  <c r="Q398" i="45"/>
  <c r="A399" i="45"/>
  <c r="B399" i="45"/>
  <c r="N399" i="45"/>
  <c r="O399" i="45"/>
  <c r="P399" i="45"/>
  <c r="Q399" i="45"/>
  <c r="A400" i="45"/>
  <c r="B400" i="45"/>
  <c r="N400" i="45"/>
  <c r="O400" i="45"/>
  <c r="P400" i="45"/>
  <c r="Q400" i="45"/>
  <c r="A401" i="45"/>
  <c r="B401" i="45"/>
  <c r="N401" i="45"/>
  <c r="O401" i="45"/>
  <c r="P401" i="45"/>
  <c r="Q401" i="45"/>
  <c r="A402" i="45"/>
  <c r="B402" i="45"/>
  <c r="N402" i="45"/>
  <c r="O402" i="45"/>
  <c r="P402" i="45"/>
  <c r="Q402" i="45"/>
  <c r="A403" i="45"/>
  <c r="B403" i="45"/>
  <c r="N403" i="45"/>
  <c r="O403" i="45"/>
  <c r="P403" i="45"/>
  <c r="Q403" i="45"/>
  <c r="A404" i="45"/>
  <c r="B404" i="45"/>
  <c r="N404" i="45"/>
  <c r="O404" i="45"/>
  <c r="P404" i="45"/>
  <c r="Q404" i="45"/>
  <c r="A405" i="45"/>
  <c r="B405" i="45"/>
  <c r="N405" i="45"/>
  <c r="O405" i="45"/>
  <c r="P405" i="45"/>
  <c r="Q405" i="45"/>
  <c r="A406" i="45"/>
  <c r="B406" i="45"/>
  <c r="N406" i="45"/>
  <c r="O406" i="45"/>
  <c r="P406" i="45"/>
  <c r="Q406" i="45"/>
  <c r="A407" i="45"/>
  <c r="B407" i="45"/>
  <c r="N407" i="45"/>
  <c r="O407" i="45"/>
  <c r="P407" i="45"/>
  <c r="Q407" i="45"/>
  <c r="A408" i="45"/>
  <c r="B408" i="45"/>
  <c r="N408" i="45"/>
  <c r="O408" i="45"/>
  <c r="P408" i="45"/>
  <c r="Q408" i="45"/>
  <c r="A409" i="45"/>
  <c r="B409" i="45"/>
  <c r="N409" i="45"/>
  <c r="O409" i="45"/>
  <c r="P409" i="45"/>
  <c r="Q409" i="45"/>
  <c r="A410" i="45"/>
  <c r="B410" i="45"/>
  <c r="N410" i="45"/>
  <c r="O410" i="45"/>
  <c r="P410" i="45"/>
  <c r="Q410" i="45"/>
  <c r="A411" i="45"/>
  <c r="B411" i="45"/>
  <c r="N411" i="45"/>
  <c r="O411" i="45"/>
  <c r="P411" i="45"/>
  <c r="Q411" i="45"/>
  <c r="A412" i="45"/>
  <c r="B412" i="45"/>
  <c r="N412" i="45"/>
  <c r="O412" i="45"/>
  <c r="P412" i="45"/>
  <c r="Q412" i="45"/>
  <c r="A413" i="45"/>
  <c r="B413" i="45"/>
  <c r="N413" i="45"/>
  <c r="O413" i="45"/>
  <c r="P413" i="45"/>
  <c r="Q413" i="45"/>
  <c r="A414" i="45"/>
  <c r="B414" i="45"/>
  <c r="N414" i="45"/>
  <c r="O414" i="45"/>
  <c r="P414" i="45"/>
  <c r="Q414" i="45"/>
  <c r="A415" i="45"/>
  <c r="B415" i="45"/>
  <c r="N415" i="45"/>
  <c r="O415" i="45"/>
  <c r="P415" i="45"/>
  <c r="Q415" i="45"/>
  <c r="A416" i="45"/>
  <c r="B416" i="45"/>
  <c r="N416" i="45"/>
  <c r="O416" i="45"/>
  <c r="P416" i="45"/>
  <c r="Q416" i="45"/>
  <c r="A417" i="45"/>
  <c r="B417" i="45"/>
  <c r="N417" i="45"/>
  <c r="O417" i="45"/>
  <c r="P417" i="45"/>
  <c r="Q417" i="45"/>
  <c r="A418" i="45"/>
  <c r="B418" i="45"/>
  <c r="N418" i="45"/>
  <c r="O418" i="45"/>
  <c r="P418" i="45"/>
  <c r="Q418" i="45"/>
  <c r="A419" i="45"/>
  <c r="B419" i="45"/>
  <c r="N419" i="45"/>
  <c r="O419" i="45"/>
  <c r="P419" i="45"/>
  <c r="Q419" i="45"/>
  <c r="A420" i="45"/>
  <c r="B420" i="45"/>
  <c r="N420" i="45"/>
  <c r="O420" i="45"/>
  <c r="P420" i="45"/>
  <c r="Q420" i="45"/>
  <c r="A421" i="45"/>
  <c r="B421" i="45"/>
  <c r="N421" i="45"/>
  <c r="O421" i="45"/>
  <c r="P421" i="45"/>
  <c r="Q421" i="45"/>
  <c r="A422" i="45"/>
  <c r="B422" i="45"/>
  <c r="N422" i="45"/>
  <c r="O422" i="45"/>
  <c r="P422" i="45"/>
  <c r="Q422" i="45"/>
  <c r="A423" i="45"/>
  <c r="B423" i="45"/>
  <c r="N423" i="45"/>
  <c r="O423" i="45"/>
  <c r="P423" i="45"/>
  <c r="Q423" i="45"/>
  <c r="A424" i="45"/>
  <c r="B424" i="45"/>
  <c r="N424" i="45"/>
  <c r="O424" i="45"/>
  <c r="P424" i="45"/>
  <c r="Q424" i="45"/>
  <c r="A425" i="45"/>
  <c r="B425" i="45"/>
  <c r="N425" i="45"/>
  <c r="O425" i="45"/>
  <c r="P425" i="45"/>
  <c r="Q425" i="45"/>
  <c r="A426" i="45"/>
  <c r="B426" i="45"/>
  <c r="N426" i="45"/>
  <c r="O426" i="45"/>
  <c r="P426" i="45"/>
  <c r="Q426" i="45"/>
  <c r="A427" i="45"/>
  <c r="B427" i="45"/>
  <c r="N427" i="45"/>
  <c r="O427" i="45"/>
  <c r="P427" i="45"/>
  <c r="Q427" i="45"/>
  <c r="A428" i="45"/>
  <c r="B428" i="45"/>
  <c r="N428" i="45"/>
  <c r="O428" i="45"/>
  <c r="P428" i="45"/>
  <c r="Q428" i="45"/>
  <c r="A429" i="45"/>
  <c r="B429" i="45"/>
  <c r="N429" i="45"/>
  <c r="O429" i="45"/>
  <c r="P429" i="45"/>
  <c r="Q429" i="45"/>
  <c r="A430" i="45"/>
  <c r="B430" i="45"/>
  <c r="N430" i="45"/>
  <c r="O430" i="45"/>
  <c r="P430" i="45"/>
  <c r="Q430" i="45"/>
  <c r="A431" i="45"/>
  <c r="B431" i="45"/>
  <c r="N431" i="45"/>
  <c r="O431" i="45"/>
  <c r="P431" i="45"/>
  <c r="Q431" i="45"/>
  <c r="A432" i="45"/>
  <c r="B432" i="45"/>
  <c r="N432" i="45"/>
  <c r="O432" i="45"/>
  <c r="P432" i="45"/>
  <c r="Q432" i="45"/>
  <c r="A433" i="45"/>
  <c r="B433" i="45"/>
  <c r="N433" i="45"/>
  <c r="O433" i="45"/>
  <c r="P433" i="45"/>
  <c r="Q433" i="45"/>
  <c r="A434" i="45"/>
  <c r="B434" i="45"/>
  <c r="N434" i="45"/>
  <c r="O434" i="45"/>
  <c r="P434" i="45"/>
  <c r="Q434" i="45"/>
  <c r="A435" i="45"/>
  <c r="B435" i="45"/>
  <c r="N435" i="45"/>
  <c r="O435" i="45"/>
  <c r="P435" i="45"/>
  <c r="Q435" i="45"/>
  <c r="A436" i="45"/>
  <c r="B436" i="45"/>
  <c r="N436" i="45"/>
  <c r="O436" i="45"/>
  <c r="P436" i="45"/>
  <c r="Q436" i="45"/>
  <c r="A437" i="45"/>
  <c r="B437" i="45"/>
  <c r="N437" i="45"/>
  <c r="O437" i="45"/>
  <c r="P437" i="45"/>
  <c r="Q437" i="45"/>
  <c r="A438" i="45"/>
  <c r="B438" i="45"/>
  <c r="N438" i="45"/>
  <c r="O438" i="45"/>
  <c r="P438" i="45"/>
  <c r="Q438" i="45"/>
  <c r="A439" i="45"/>
  <c r="B439" i="45"/>
  <c r="N439" i="45"/>
  <c r="O439" i="45"/>
  <c r="P439" i="45"/>
  <c r="Q439" i="45"/>
  <c r="A440" i="45"/>
  <c r="B440" i="45"/>
  <c r="N440" i="45"/>
  <c r="O440" i="45"/>
  <c r="P440" i="45"/>
  <c r="Q440" i="45"/>
  <c r="A441" i="45"/>
  <c r="B441" i="45"/>
  <c r="N441" i="45"/>
  <c r="O441" i="45"/>
  <c r="P441" i="45"/>
  <c r="Q441" i="45"/>
  <c r="A442" i="45"/>
  <c r="B442" i="45"/>
  <c r="N442" i="45"/>
  <c r="O442" i="45"/>
  <c r="P442" i="45"/>
  <c r="Q442" i="45"/>
  <c r="A443" i="45"/>
  <c r="B443" i="45"/>
  <c r="N443" i="45"/>
  <c r="O443" i="45"/>
  <c r="P443" i="45"/>
  <c r="Q443" i="45"/>
  <c r="A444" i="45"/>
  <c r="B444" i="45"/>
  <c r="N444" i="45"/>
  <c r="O444" i="45"/>
  <c r="P444" i="45"/>
  <c r="Q444" i="45"/>
  <c r="A445" i="45"/>
  <c r="B445" i="45"/>
  <c r="N445" i="45"/>
  <c r="O445" i="45"/>
  <c r="P445" i="45"/>
  <c r="Q445" i="45"/>
  <c r="A446" i="45"/>
  <c r="B446" i="45"/>
  <c r="N446" i="45"/>
  <c r="O446" i="45"/>
  <c r="P446" i="45"/>
  <c r="Q446" i="45"/>
  <c r="A447" i="45"/>
  <c r="B447" i="45"/>
  <c r="N447" i="45"/>
  <c r="O447" i="45"/>
  <c r="P447" i="45"/>
  <c r="Q447" i="45"/>
  <c r="A448" i="45"/>
  <c r="B448" i="45"/>
  <c r="N448" i="45"/>
  <c r="O448" i="45"/>
  <c r="P448" i="45"/>
  <c r="Q448" i="45"/>
  <c r="A449" i="45"/>
  <c r="B449" i="45"/>
  <c r="N449" i="45"/>
  <c r="O449" i="45"/>
  <c r="P449" i="45"/>
  <c r="Q449" i="45"/>
  <c r="A450" i="45"/>
  <c r="B450" i="45"/>
  <c r="N450" i="45"/>
  <c r="O450" i="45"/>
  <c r="P450" i="45"/>
  <c r="Q450" i="45"/>
  <c r="A451" i="45"/>
  <c r="B451" i="45"/>
  <c r="N451" i="45"/>
  <c r="O451" i="45"/>
  <c r="P451" i="45"/>
  <c r="Q451" i="45"/>
  <c r="A452" i="45"/>
  <c r="B452" i="45"/>
  <c r="N452" i="45"/>
  <c r="O452" i="45"/>
  <c r="P452" i="45"/>
  <c r="Q452" i="45"/>
  <c r="A453" i="45"/>
  <c r="B453" i="45"/>
  <c r="N453" i="45"/>
  <c r="O453" i="45"/>
  <c r="P453" i="45"/>
  <c r="Q453" i="45"/>
  <c r="A454" i="45"/>
  <c r="B454" i="45"/>
  <c r="N454" i="45"/>
  <c r="O454" i="45"/>
  <c r="P454" i="45"/>
  <c r="Q454" i="45"/>
  <c r="A455" i="45"/>
  <c r="B455" i="45"/>
  <c r="N455" i="45"/>
  <c r="O455" i="45"/>
  <c r="P455" i="45"/>
  <c r="Q455" i="45"/>
  <c r="A456" i="45"/>
  <c r="B456" i="45"/>
  <c r="N456" i="45"/>
  <c r="O456" i="45"/>
  <c r="P456" i="45"/>
  <c r="Q456" i="45"/>
  <c r="A457" i="45"/>
  <c r="B457" i="45"/>
  <c r="N457" i="45"/>
  <c r="O457" i="45"/>
  <c r="P457" i="45"/>
  <c r="Q457" i="45"/>
  <c r="A458" i="45"/>
  <c r="B458" i="45"/>
  <c r="N458" i="45"/>
  <c r="O458" i="45"/>
  <c r="P458" i="45"/>
  <c r="Q458" i="45"/>
  <c r="A459" i="45"/>
  <c r="B459" i="45"/>
  <c r="N459" i="45"/>
  <c r="O459" i="45"/>
  <c r="P459" i="45"/>
  <c r="Q459" i="45"/>
  <c r="A460" i="45"/>
  <c r="B460" i="45"/>
  <c r="N460" i="45"/>
  <c r="O460" i="45"/>
  <c r="P460" i="45"/>
  <c r="Q460" i="45"/>
  <c r="A461" i="45"/>
  <c r="B461" i="45"/>
  <c r="N461" i="45"/>
  <c r="O461" i="45"/>
  <c r="P461" i="45"/>
  <c r="Q461" i="45"/>
  <c r="A462" i="45"/>
  <c r="B462" i="45"/>
  <c r="N462" i="45"/>
  <c r="O462" i="45"/>
  <c r="P462" i="45"/>
  <c r="Q462" i="45"/>
  <c r="A463" i="45"/>
  <c r="B463" i="45"/>
  <c r="N463" i="45"/>
  <c r="O463" i="45"/>
  <c r="P463" i="45"/>
  <c r="Q463" i="45"/>
  <c r="A464" i="45"/>
  <c r="B464" i="45"/>
  <c r="N464" i="45"/>
  <c r="O464" i="45"/>
  <c r="P464" i="45"/>
  <c r="Q464" i="45"/>
  <c r="A465" i="45"/>
  <c r="B465" i="45"/>
  <c r="N465" i="45"/>
  <c r="O465" i="45"/>
  <c r="P465" i="45"/>
  <c r="Q465" i="45"/>
  <c r="A466" i="45"/>
  <c r="B466" i="45"/>
  <c r="N466" i="45"/>
  <c r="O466" i="45"/>
  <c r="P466" i="45"/>
  <c r="Q466" i="45"/>
  <c r="A467" i="45"/>
  <c r="B467" i="45"/>
  <c r="N467" i="45"/>
  <c r="O467" i="45"/>
  <c r="P467" i="45"/>
  <c r="Q467" i="45"/>
  <c r="A468" i="45"/>
  <c r="B468" i="45"/>
  <c r="N468" i="45"/>
  <c r="O468" i="45"/>
  <c r="P468" i="45"/>
  <c r="Q468" i="45"/>
  <c r="A469" i="45"/>
  <c r="B469" i="45"/>
  <c r="N469" i="45"/>
  <c r="O469" i="45"/>
  <c r="P469" i="45"/>
  <c r="Q469" i="45"/>
  <c r="A470" i="45"/>
  <c r="B470" i="45"/>
  <c r="N470" i="45"/>
  <c r="O470" i="45"/>
  <c r="P470" i="45"/>
  <c r="Q470" i="45"/>
  <c r="A471" i="45"/>
  <c r="B471" i="45"/>
  <c r="N471" i="45"/>
  <c r="O471" i="45"/>
  <c r="P471" i="45"/>
  <c r="Q471" i="45"/>
  <c r="A472" i="45"/>
  <c r="B472" i="45"/>
  <c r="N472" i="45"/>
  <c r="O472" i="45"/>
  <c r="P472" i="45"/>
  <c r="Q472" i="45"/>
  <c r="A473" i="45"/>
  <c r="B473" i="45"/>
  <c r="N473" i="45"/>
  <c r="O473" i="45"/>
  <c r="P473" i="45"/>
  <c r="Q473" i="45"/>
  <c r="A474" i="45"/>
  <c r="B474" i="45"/>
  <c r="N474" i="45"/>
  <c r="O474" i="45"/>
  <c r="P474" i="45"/>
  <c r="Q474" i="45"/>
  <c r="A475" i="45"/>
  <c r="B475" i="45"/>
  <c r="N475" i="45"/>
  <c r="O475" i="45"/>
  <c r="P475" i="45"/>
  <c r="Q475" i="45"/>
  <c r="A476" i="45"/>
  <c r="B476" i="45"/>
  <c r="N476" i="45"/>
  <c r="O476" i="45"/>
  <c r="P476" i="45"/>
  <c r="Q476" i="45"/>
  <c r="A477" i="45"/>
  <c r="B477" i="45"/>
  <c r="N477" i="45"/>
  <c r="O477" i="45"/>
  <c r="P477" i="45"/>
  <c r="Q477" i="45"/>
  <c r="A478" i="45"/>
  <c r="B478" i="45"/>
  <c r="N478" i="45"/>
  <c r="O478" i="45"/>
  <c r="P478" i="45"/>
  <c r="Q478" i="45"/>
  <c r="A479" i="45"/>
  <c r="B479" i="45"/>
  <c r="N479" i="45"/>
  <c r="O479" i="45"/>
  <c r="P479" i="45"/>
  <c r="Q479" i="45"/>
  <c r="A480" i="45"/>
  <c r="B480" i="45"/>
  <c r="N480" i="45"/>
  <c r="O480" i="45"/>
  <c r="P480" i="45"/>
  <c r="Q480" i="45"/>
  <c r="A481" i="45"/>
  <c r="B481" i="45"/>
  <c r="N481" i="45"/>
  <c r="O481" i="45"/>
  <c r="P481" i="45"/>
  <c r="Q481" i="45"/>
  <c r="A482" i="45"/>
  <c r="B482" i="45"/>
  <c r="N482" i="45"/>
  <c r="O482" i="45"/>
  <c r="P482" i="45"/>
  <c r="Q482" i="45"/>
  <c r="A483" i="45"/>
  <c r="B483" i="45"/>
  <c r="N483" i="45"/>
  <c r="O483" i="45"/>
  <c r="P483" i="45"/>
  <c r="Q483" i="45"/>
  <c r="A484" i="45"/>
  <c r="B484" i="45"/>
  <c r="N484" i="45"/>
  <c r="O484" i="45"/>
  <c r="P484" i="45"/>
  <c r="Q484" i="45"/>
  <c r="A485" i="45"/>
  <c r="B485" i="45"/>
  <c r="N485" i="45"/>
  <c r="O485" i="45"/>
  <c r="P485" i="45"/>
  <c r="Q485" i="45"/>
  <c r="A486" i="45"/>
  <c r="B486" i="45"/>
  <c r="N486" i="45"/>
  <c r="O486" i="45"/>
  <c r="P486" i="45"/>
  <c r="Q486" i="45"/>
  <c r="A487" i="45"/>
  <c r="B487" i="45"/>
  <c r="N487" i="45"/>
  <c r="O487" i="45"/>
  <c r="P487" i="45"/>
  <c r="Q487" i="45"/>
  <c r="A488" i="45"/>
  <c r="B488" i="45"/>
  <c r="N488" i="45"/>
  <c r="O488" i="45"/>
  <c r="P488" i="45"/>
  <c r="Q488" i="45"/>
  <c r="A489" i="45"/>
  <c r="B489" i="45"/>
  <c r="N489" i="45"/>
  <c r="O489" i="45"/>
  <c r="P489" i="45"/>
  <c r="Q489" i="45"/>
  <c r="A490" i="45"/>
  <c r="B490" i="45"/>
  <c r="N490" i="45"/>
  <c r="O490" i="45"/>
  <c r="P490" i="45"/>
  <c r="Q490" i="45"/>
  <c r="A491" i="45"/>
  <c r="B491" i="45"/>
  <c r="N491" i="45"/>
  <c r="O491" i="45"/>
  <c r="P491" i="45"/>
  <c r="Q491" i="45"/>
  <c r="A492" i="45"/>
  <c r="B492" i="45"/>
  <c r="N492" i="45"/>
  <c r="O492" i="45"/>
  <c r="P492" i="45"/>
  <c r="Q492" i="45"/>
  <c r="A493" i="45"/>
  <c r="B493" i="45"/>
  <c r="N493" i="45"/>
  <c r="O493" i="45"/>
  <c r="P493" i="45"/>
  <c r="Q493" i="45"/>
  <c r="A494" i="45"/>
  <c r="B494" i="45"/>
  <c r="N494" i="45"/>
  <c r="O494" i="45"/>
  <c r="P494" i="45"/>
  <c r="Q494" i="45"/>
  <c r="A495" i="45"/>
  <c r="B495" i="45"/>
  <c r="N495" i="45"/>
  <c r="O495" i="45"/>
  <c r="P495" i="45"/>
  <c r="Q495" i="45"/>
  <c r="A496" i="45"/>
  <c r="B496" i="45"/>
  <c r="N496" i="45"/>
  <c r="O496" i="45"/>
  <c r="P496" i="45"/>
  <c r="Q496" i="45"/>
  <c r="A497" i="45"/>
  <c r="B497" i="45"/>
  <c r="N497" i="45"/>
  <c r="O497" i="45"/>
  <c r="P497" i="45"/>
  <c r="Q497" i="45"/>
  <c r="A498" i="45"/>
  <c r="B498" i="45"/>
  <c r="N498" i="45"/>
  <c r="O498" i="45"/>
  <c r="P498" i="45"/>
  <c r="Q498" i="45"/>
  <c r="A499" i="45"/>
  <c r="B499" i="45"/>
  <c r="N499" i="45"/>
  <c r="O499" i="45"/>
  <c r="P499" i="45"/>
  <c r="Q499" i="45"/>
  <c r="A500" i="45"/>
  <c r="B500" i="45"/>
  <c r="N500" i="45"/>
  <c r="O500" i="45"/>
  <c r="P500" i="45"/>
  <c r="Q500" i="45"/>
  <c r="A501" i="45"/>
  <c r="B501" i="45"/>
  <c r="N501" i="45"/>
  <c r="O501" i="45"/>
  <c r="P501" i="45"/>
  <c r="Q501" i="45"/>
  <c r="A502" i="45"/>
  <c r="B502" i="45"/>
  <c r="N502" i="45"/>
  <c r="O502" i="45"/>
  <c r="P502" i="45"/>
  <c r="Q502" i="45"/>
  <c r="A503" i="45"/>
  <c r="B503" i="45"/>
  <c r="N503" i="45"/>
  <c r="O503" i="45"/>
  <c r="P503" i="45"/>
  <c r="Q503" i="45"/>
  <c r="A504" i="45"/>
  <c r="B504" i="45"/>
  <c r="N504" i="45"/>
  <c r="O504" i="45"/>
  <c r="P504" i="45"/>
  <c r="Q504" i="45"/>
  <c r="A505" i="45"/>
  <c r="B505" i="45"/>
  <c r="N505" i="45"/>
  <c r="O505" i="45"/>
  <c r="P505" i="45"/>
  <c r="Q505" i="45"/>
  <c r="A506" i="45"/>
  <c r="B506" i="45"/>
  <c r="N506" i="45"/>
  <c r="O506" i="45"/>
  <c r="P506" i="45"/>
  <c r="Q506" i="45"/>
  <c r="A507" i="45"/>
  <c r="B507" i="45"/>
  <c r="N507" i="45"/>
  <c r="O507" i="45"/>
  <c r="P507" i="45"/>
  <c r="Q507" i="45"/>
  <c r="A508" i="45"/>
  <c r="B508" i="45"/>
  <c r="N508" i="45"/>
  <c r="O508" i="45"/>
  <c r="P508" i="45"/>
  <c r="Q508" i="45"/>
  <c r="A509" i="45"/>
  <c r="B509" i="45"/>
  <c r="N509" i="45"/>
  <c r="O509" i="45"/>
  <c r="P509" i="45"/>
  <c r="Q509" i="45"/>
  <c r="A510" i="45"/>
  <c r="B510" i="45"/>
  <c r="N510" i="45"/>
  <c r="O510" i="45"/>
  <c r="P510" i="45"/>
  <c r="Q510" i="45"/>
  <c r="A511" i="45"/>
  <c r="B511" i="45"/>
  <c r="N511" i="45"/>
  <c r="O511" i="45"/>
  <c r="P511" i="45"/>
  <c r="Q511" i="45"/>
  <c r="A512" i="45"/>
  <c r="B512" i="45"/>
  <c r="N512" i="45"/>
  <c r="O512" i="45"/>
  <c r="P512" i="45"/>
  <c r="Q512" i="45"/>
  <c r="A513" i="45"/>
  <c r="B513" i="45"/>
  <c r="N513" i="45"/>
  <c r="O513" i="45"/>
  <c r="P513" i="45"/>
  <c r="Q513" i="45"/>
  <c r="A514" i="45"/>
  <c r="B514" i="45"/>
  <c r="N514" i="45"/>
  <c r="O514" i="45"/>
  <c r="P514" i="45"/>
  <c r="Q514" i="45"/>
  <c r="A515" i="45"/>
  <c r="B515" i="45"/>
  <c r="N515" i="45"/>
  <c r="O515" i="45"/>
  <c r="P515" i="45"/>
  <c r="Q515" i="45"/>
  <c r="A516" i="45"/>
  <c r="B516" i="45"/>
  <c r="N516" i="45"/>
  <c r="O516" i="45"/>
  <c r="P516" i="45"/>
  <c r="Q516" i="45"/>
  <c r="A517" i="45"/>
  <c r="B517" i="45"/>
  <c r="N517" i="45"/>
  <c r="O517" i="45"/>
  <c r="P517" i="45"/>
  <c r="Q517" i="45"/>
  <c r="A518" i="45"/>
  <c r="B518" i="45"/>
  <c r="N518" i="45"/>
  <c r="O518" i="45"/>
  <c r="P518" i="45"/>
  <c r="Q518" i="45"/>
  <c r="A519" i="45"/>
  <c r="B519" i="45"/>
  <c r="N519" i="45"/>
  <c r="O519" i="45"/>
  <c r="P519" i="45"/>
  <c r="Q519" i="45"/>
  <c r="A520" i="45"/>
  <c r="B520" i="45"/>
  <c r="N520" i="45"/>
  <c r="O520" i="45"/>
  <c r="P520" i="45"/>
  <c r="Q520" i="45"/>
  <c r="A521" i="45"/>
  <c r="B521" i="45"/>
  <c r="N521" i="45"/>
  <c r="O521" i="45"/>
  <c r="P521" i="45"/>
  <c r="Q521" i="45"/>
  <c r="A522" i="45"/>
  <c r="B522" i="45"/>
  <c r="N522" i="45"/>
  <c r="O522" i="45"/>
  <c r="P522" i="45"/>
  <c r="Q522" i="45"/>
  <c r="A523" i="45"/>
  <c r="B523" i="45"/>
  <c r="N523" i="45"/>
  <c r="O523" i="45"/>
  <c r="P523" i="45"/>
  <c r="Q523" i="45"/>
  <c r="A524" i="45"/>
  <c r="B524" i="45"/>
  <c r="N524" i="45"/>
  <c r="O524" i="45"/>
  <c r="P524" i="45"/>
  <c r="Q524" i="45"/>
  <c r="A525" i="45"/>
  <c r="B525" i="45"/>
  <c r="N525" i="45"/>
  <c r="O525" i="45"/>
  <c r="P525" i="45"/>
  <c r="Q525" i="45"/>
  <c r="A526" i="45"/>
  <c r="B526" i="45"/>
  <c r="N526" i="45"/>
  <c r="O526" i="45"/>
  <c r="P526" i="45"/>
  <c r="Q526" i="45"/>
  <c r="A527" i="45"/>
  <c r="B527" i="45"/>
  <c r="N527" i="45"/>
  <c r="O527" i="45"/>
  <c r="P527" i="45"/>
  <c r="Q527" i="45"/>
  <c r="A528" i="45"/>
  <c r="B528" i="45"/>
  <c r="N528" i="45"/>
  <c r="O528" i="45"/>
  <c r="P528" i="45"/>
  <c r="Q528" i="45"/>
  <c r="A529" i="45"/>
  <c r="B529" i="45"/>
  <c r="N529" i="45"/>
  <c r="O529" i="45"/>
  <c r="P529" i="45"/>
  <c r="Q529" i="45"/>
  <c r="A530" i="45"/>
  <c r="B530" i="45"/>
  <c r="N530" i="45"/>
  <c r="O530" i="45"/>
  <c r="P530" i="45"/>
  <c r="Q530" i="45"/>
  <c r="A531" i="45"/>
  <c r="B531" i="45"/>
  <c r="N531" i="45"/>
  <c r="O531" i="45"/>
  <c r="P531" i="45"/>
  <c r="Q531" i="45"/>
  <c r="A532" i="45"/>
  <c r="B532" i="45"/>
  <c r="N532" i="45"/>
  <c r="O532" i="45"/>
  <c r="P532" i="45"/>
  <c r="Q532" i="45"/>
  <c r="A533" i="45"/>
  <c r="B533" i="45"/>
  <c r="N533" i="45"/>
  <c r="O533" i="45"/>
  <c r="P533" i="45"/>
  <c r="Q533" i="45"/>
  <c r="A534" i="45"/>
  <c r="B534" i="45"/>
  <c r="N534" i="45"/>
  <c r="O534" i="45"/>
  <c r="P534" i="45"/>
  <c r="Q534" i="45"/>
  <c r="A535" i="45"/>
  <c r="B535" i="45"/>
  <c r="N535" i="45"/>
  <c r="O535" i="45"/>
  <c r="P535" i="45"/>
  <c r="Q535" i="45"/>
  <c r="A536" i="45"/>
  <c r="B536" i="45"/>
  <c r="N536" i="45"/>
  <c r="O536" i="45"/>
  <c r="P536" i="45"/>
  <c r="Q536" i="45"/>
  <c r="A537" i="45"/>
  <c r="B537" i="45"/>
  <c r="N537" i="45"/>
  <c r="O537" i="45"/>
  <c r="P537" i="45"/>
  <c r="Q537" i="45"/>
  <c r="A538" i="45"/>
  <c r="B538" i="45"/>
  <c r="N538" i="45"/>
  <c r="O538" i="45"/>
  <c r="P538" i="45"/>
  <c r="Q538" i="45"/>
  <c r="A539" i="45"/>
  <c r="B539" i="45"/>
  <c r="N539" i="45"/>
  <c r="O539" i="45"/>
  <c r="P539" i="45"/>
  <c r="Q539" i="45"/>
  <c r="A540" i="45"/>
  <c r="B540" i="45"/>
  <c r="N540" i="45"/>
  <c r="O540" i="45"/>
  <c r="P540" i="45"/>
  <c r="Q540" i="45"/>
  <c r="A541" i="45"/>
  <c r="B541" i="45"/>
  <c r="N541" i="45"/>
  <c r="O541" i="45"/>
  <c r="P541" i="45"/>
  <c r="Q541" i="45"/>
  <c r="A542" i="45"/>
  <c r="B542" i="45"/>
  <c r="N542" i="45"/>
  <c r="O542" i="45"/>
  <c r="P542" i="45"/>
  <c r="Q542" i="45"/>
  <c r="A543" i="45"/>
  <c r="B543" i="45"/>
  <c r="N543" i="45"/>
  <c r="O543" i="45"/>
  <c r="P543" i="45"/>
  <c r="Q543" i="45"/>
  <c r="A544" i="45"/>
  <c r="B544" i="45"/>
  <c r="N544" i="45"/>
  <c r="O544" i="45"/>
  <c r="P544" i="45"/>
  <c r="Q544" i="45"/>
  <c r="A545" i="45"/>
  <c r="B545" i="45"/>
  <c r="N545" i="45"/>
  <c r="O545" i="45"/>
  <c r="P545" i="45"/>
  <c r="Q545" i="45"/>
  <c r="A546" i="45"/>
  <c r="B546" i="45"/>
  <c r="N546" i="45"/>
  <c r="O546" i="45"/>
  <c r="P546" i="45"/>
  <c r="Q546" i="45"/>
  <c r="A547" i="45"/>
  <c r="B547" i="45"/>
  <c r="N547" i="45"/>
  <c r="O547" i="45"/>
  <c r="P547" i="45"/>
  <c r="Q547" i="45"/>
  <c r="A548" i="45"/>
  <c r="B548" i="45"/>
  <c r="N548" i="45"/>
  <c r="O548" i="45"/>
  <c r="P548" i="45"/>
  <c r="Q548" i="45"/>
  <c r="A549" i="45"/>
  <c r="B549" i="45"/>
  <c r="N549" i="45"/>
  <c r="O549" i="45"/>
  <c r="P549" i="45"/>
  <c r="Q549" i="45"/>
  <c r="A550" i="45"/>
  <c r="B550" i="45"/>
  <c r="N550" i="45"/>
  <c r="O550" i="45"/>
  <c r="P550" i="45"/>
  <c r="Q550" i="45"/>
  <c r="A551" i="45"/>
  <c r="B551" i="45"/>
  <c r="N551" i="45"/>
  <c r="O551" i="45"/>
  <c r="P551" i="45"/>
  <c r="Q551" i="45"/>
  <c r="A552" i="45"/>
  <c r="B552" i="45"/>
  <c r="N552" i="45"/>
  <c r="O552" i="45"/>
  <c r="P552" i="45"/>
  <c r="Q552" i="45"/>
  <c r="A553" i="45"/>
  <c r="B553" i="45"/>
  <c r="N553" i="45"/>
  <c r="O553" i="45"/>
  <c r="P553" i="45"/>
  <c r="Q553" i="45"/>
  <c r="A554" i="45"/>
  <c r="B554" i="45"/>
  <c r="N554" i="45"/>
  <c r="O554" i="45"/>
  <c r="P554" i="45"/>
  <c r="Q554" i="45"/>
  <c r="A555" i="45"/>
  <c r="B555" i="45"/>
  <c r="N555" i="45"/>
  <c r="O555" i="45"/>
  <c r="P555" i="45"/>
  <c r="Q555" i="45"/>
  <c r="A556" i="45"/>
  <c r="B556" i="45"/>
  <c r="N556" i="45"/>
  <c r="O556" i="45"/>
  <c r="P556" i="45"/>
  <c r="Q556" i="45"/>
  <c r="A557" i="45"/>
  <c r="B557" i="45"/>
  <c r="N557" i="45"/>
  <c r="O557" i="45"/>
  <c r="P557" i="45"/>
  <c r="Q557" i="45"/>
  <c r="A558" i="45"/>
  <c r="B558" i="45"/>
  <c r="N558" i="45"/>
  <c r="O558" i="45"/>
  <c r="P558" i="45"/>
  <c r="Q558" i="45"/>
  <c r="A559" i="45"/>
  <c r="B559" i="45"/>
  <c r="N559" i="45"/>
  <c r="O559" i="45"/>
  <c r="P559" i="45"/>
  <c r="Q559" i="45"/>
  <c r="A560" i="45"/>
  <c r="B560" i="45"/>
  <c r="N560" i="45"/>
  <c r="O560" i="45"/>
  <c r="P560" i="45"/>
  <c r="Q560" i="45"/>
  <c r="A561" i="45"/>
  <c r="B561" i="45"/>
  <c r="N561" i="45"/>
  <c r="O561" i="45"/>
  <c r="P561" i="45"/>
  <c r="Q561" i="45"/>
  <c r="A562" i="45"/>
  <c r="B562" i="45"/>
  <c r="N562" i="45"/>
  <c r="O562" i="45"/>
  <c r="P562" i="45"/>
  <c r="Q562" i="45"/>
  <c r="A563" i="45"/>
  <c r="B563" i="45"/>
  <c r="N563" i="45"/>
  <c r="O563" i="45"/>
  <c r="P563" i="45"/>
  <c r="Q563" i="45"/>
  <c r="A564" i="45"/>
  <c r="B564" i="45"/>
  <c r="N564" i="45"/>
  <c r="O564" i="45"/>
  <c r="P564" i="45"/>
  <c r="Q564" i="45"/>
  <c r="A565" i="45"/>
  <c r="B565" i="45"/>
  <c r="N565" i="45"/>
  <c r="O565" i="45"/>
  <c r="P565" i="45"/>
  <c r="Q565" i="45"/>
  <c r="A566" i="45"/>
  <c r="B566" i="45"/>
  <c r="N566" i="45"/>
  <c r="O566" i="45"/>
  <c r="P566" i="45"/>
  <c r="Q566" i="45"/>
  <c r="A567" i="45"/>
  <c r="B567" i="45"/>
  <c r="N567" i="45"/>
  <c r="O567" i="45"/>
  <c r="P567" i="45"/>
  <c r="Q567" i="45"/>
  <c r="A568" i="45"/>
  <c r="B568" i="45"/>
  <c r="N568" i="45"/>
  <c r="O568" i="45"/>
  <c r="P568" i="45"/>
  <c r="Q568" i="45"/>
  <c r="A569" i="45"/>
  <c r="B569" i="45"/>
  <c r="N569" i="45"/>
  <c r="O569" i="45"/>
  <c r="P569" i="45"/>
  <c r="Q569" i="45"/>
  <c r="A570" i="45"/>
  <c r="B570" i="45"/>
  <c r="N570" i="45"/>
  <c r="O570" i="45"/>
  <c r="P570" i="45"/>
  <c r="Q570" i="45"/>
  <c r="A571" i="45"/>
  <c r="B571" i="45"/>
  <c r="N571" i="45"/>
  <c r="O571" i="45"/>
  <c r="P571" i="45"/>
  <c r="Q571" i="45"/>
  <c r="A572" i="45"/>
  <c r="B572" i="45"/>
  <c r="N572" i="45"/>
  <c r="O572" i="45"/>
  <c r="P572" i="45"/>
  <c r="Q572" i="45"/>
  <c r="A573" i="45"/>
  <c r="B573" i="45"/>
  <c r="N573" i="45"/>
  <c r="O573" i="45"/>
  <c r="P573" i="45"/>
  <c r="Q573" i="45"/>
  <c r="A574" i="45"/>
  <c r="B574" i="45"/>
  <c r="N574" i="45"/>
  <c r="O574" i="45"/>
  <c r="P574" i="45"/>
  <c r="Q574" i="45"/>
  <c r="A575" i="45"/>
  <c r="B575" i="45"/>
  <c r="N575" i="45"/>
  <c r="O575" i="45"/>
  <c r="P575" i="45"/>
  <c r="Q575" i="45"/>
  <c r="A576" i="45"/>
  <c r="B576" i="45"/>
  <c r="N576" i="45"/>
  <c r="O576" i="45"/>
  <c r="P576" i="45"/>
  <c r="Q576" i="45"/>
  <c r="A577" i="45"/>
  <c r="B577" i="45"/>
  <c r="N577" i="45"/>
  <c r="O577" i="45"/>
  <c r="P577" i="45"/>
  <c r="Q577" i="45"/>
  <c r="A578" i="45"/>
  <c r="B578" i="45"/>
  <c r="N578" i="45"/>
  <c r="O578" i="45"/>
  <c r="P578" i="45"/>
  <c r="Q578" i="45"/>
  <c r="A579" i="45"/>
  <c r="B579" i="45"/>
  <c r="N579" i="45"/>
  <c r="O579" i="45"/>
  <c r="P579" i="45"/>
  <c r="Q579" i="45"/>
  <c r="A580" i="45"/>
  <c r="B580" i="45"/>
  <c r="N580" i="45"/>
  <c r="O580" i="45"/>
  <c r="P580" i="45"/>
  <c r="Q580" i="45"/>
  <c r="A581" i="45"/>
  <c r="B581" i="45"/>
  <c r="N581" i="45"/>
  <c r="O581" i="45"/>
  <c r="P581" i="45"/>
  <c r="Q581" i="45"/>
  <c r="A582" i="45"/>
  <c r="B582" i="45"/>
  <c r="N582" i="45"/>
  <c r="O582" i="45"/>
  <c r="P582" i="45"/>
  <c r="Q582" i="45"/>
  <c r="A583" i="45"/>
  <c r="B583" i="45"/>
  <c r="N583" i="45"/>
  <c r="O583" i="45"/>
  <c r="P583" i="45"/>
  <c r="Q583" i="45"/>
  <c r="A584" i="45"/>
  <c r="B584" i="45"/>
  <c r="N584" i="45"/>
  <c r="O584" i="45"/>
  <c r="P584" i="45"/>
  <c r="Q584" i="45"/>
  <c r="A585" i="45"/>
  <c r="B585" i="45"/>
  <c r="N585" i="45"/>
  <c r="O585" i="45"/>
  <c r="P585" i="45"/>
  <c r="Q585" i="45"/>
  <c r="A586" i="45"/>
  <c r="B586" i="45"/>
  <c r="N586" i="45"/>
  <c r="O586" i="45"/>
  <c r="P586" i="45"/>
  <c r="Q586" i="45"/>
  <c r="A587" i="45"/>
  <c r="B587" i="45"/>
  <c r="N587" i="45"/>
  <c r="O587" i="45"/>
  <c r="P587" i="45"/>
  <c r="Q587" i="45"/>
  <c r="A588" i="45"/>
  <c r="B588" i="45"/>
  <c r="N588" i="45"/>
  <c r="O588" i="45"/>
  <c r="P588" i="45"/>
  <c r="Q588" i="45"/>
  <c r="A589" i="45"/>
  <c r="B589" i="45"/>
  <c r="N589" i="45"/>
  <c r="O589" i="45"/>
  <c r="P589" i="45"/>
  <c r="Q589" i="45"/>
  <c r="A590" i="45"/>
  <c r="B590" i="45"/>
  <c r="N590" i="45"/>
  <c r="O590" i="45"/>
  <c r="P590" i="45"/>
  <c r="Q590" i="45"/>
  <c r="A591" i="45"/>
  <c r="B591" i="45"/>
  <c r="N591" i="45"/>
  <c r="O591" i="45"/>
  <c r="P591" i="45"/>
  <c r="Q591" i="45"/>
  <c r="A592" i="45"/>
  <c r="B592" i="45"/>
  <c r="N592" i="45"/>
  <c r="O592" i="45"/>
  <c r="P592" i="45"/>
  <c r="Q592" i="45"/>
  <c r="A593" i="45"/>
  <c r="B593" i="45"/>
  <c r="N593" i="45"/>
  <c r="O593" i="45"/>
  <c r="P593" i="45"/>
  <c r="Q593" i="45"/>
  <c r="A594" i="45"/>
  <c r="B594" i="45"/>
  <c r="N594" i="45"/>
  <c r="O594" i="45"/>
  <c r="P594" i="45"/>
  <c r="Q594" i="45"/>
  <c r="A595" i="45"/>
  <c r="B595" i="45"/>
  <c r="N595" i="45"/>
  <c r="O595" i="45"/>
  <c r="P595" i="45"/>
  <c r="Q595" i="45"/>
  <c r="A596" i="45"/>
  <c r="B596" i="45"/>
  <c r="N596" i="45"/>
  <c r="O596" i="45"/>
  <c r="P596" i="45"/>
  <c r="Q596" i="45"/>
  <c r="A597" i="45"/>
  <c r="B597" i="45"/>
  <c r="N597" i="45"/>
  <c r="O597" i="45"/>
  <c r="P597" i="45"/>
  <c r="Q597" i="45"/>
  <c r="A598" i="45"/>
  <c r="B598" i="45"/>
  <c r="N598" i="45"/>
  <c r="O598" i="45"/>
  <c r="P598" i="45"/>
  <c r="Q598" i="45"/>
  <c r="A599" i="45"/>
  <c r="B599" i="45"/>
  <c r="N599" i="45"/>
  <c r="O599" i="45"/>
  <c r="P599" i="45"/>
  <c r="Q599" i="45"/>
  <c r="A600" i="45"/>
  <c r="B600" i="45"/>
  <c r="N600" i="45"/>
  <c r="O600" i="45"/>
  <c r="P600" i="45"/>
  <c r="Q600" i="45"/>
  <c r="A601" i="45"/>
  <c r="B601" i="45"/>
  <c r="N601" i="45"/>
  <c r="O601" i="45"/>
  <c r="P601" i="45"/>
  <c r="Q601" i="45"/>
  <c r="A602" i="45"/>
  <c r="B602" i="45"/>
  <c r="N602" i="45"/>
  <c r="O602" i="45"/>
  <c r="P602" i="45"/>
  <c r="Q602" i="45"/>
  <c r="A603" i="45"/>
  <c r="B603" i="45"/>
  <c r="N603" i="45"/>
  <c r="O603" i="45"/>
  <c r="P603" i="45"/>
  <c r="Q603" i="45"/>
  <c r="A604" i="45"/>
  <c r="B604" i="45"/>
  <c r="N604" i="45"/>
  <c r="O604" i="45"/>
  <c r="P604" i="45"/>
  <c r="Q604" i="45"/>
  <c r="A605" i="45"/>
  <c r="B605" i="45"/>
  <c r="N605" i="45"/>
  <c r="O605" i="45"/>
  <c r="P605" i="45"/>
  <c r="Q605" i="45"/>
  <c r="A606" i="45"/>
  <c r="B606" i="45"/>
  <c r="N606" i="45"/>
  <c r="O606" i="45"/>
  <c r="P606" i="45"/>
  <c r="Q606" i="45"/>
  <c r="A607" i="45"/>
  <c r="B607" i="45"/>
  <c r="N607" i="45"/>
  <c r="O607" i="45"/>
  <c r="P607" i="45"/>
  <c r="Q607" i="45"/>
  <c r="A608" i="45"/>
  <c r="B608" i="45"/>
  <c r="N608" i="45"/>
  <c r="O608" i="45"/>
  <c r="P608" i="45"/>
  <c r="Q608" i="45"/>
  <c r="A609" i="45"/>
  <c r="B609" i="45"/>
  <c r="N609" i="45"/>
  <c r="O609" i="45"/>
  <c r="P609" i="45"/>
  <c r="Q609" i="45"/>
  <c r="A610" i="45"/>
  <c r="B610" i="45"/>
  <c r="N610" i="45"/>
  <c r="O610" i="45"/>
  <c r="P610" i="45"/>
  <c r="Q610" i="45"/>
  <c r="A611" i="45"/>
  <c r="B611" i="45"/>
  <c r="N611" i="45"/>
  <c r="O611" i="45"/>
  <c r="P611" i="45"/>
  <c r="Q611" i="45"/>
  <c r="A612" i="45"/>
  <c r="B612" i="45"/>
  <c r="N612" i="45"/>
  <c r="O612" i="45"/>
  <c r="P612" i="45"/>
  <c r="Q612" i="45"/>
  <c r="A613" i="45"/>
  <c r="B613" i="45"/>
  <c r="N613" i="45"/>
  <c r="O613" i="45"/>
  <c r="P613" i="45"/>
  <c r="Q613" i="45"/>
  <c r="A614" i="45"/>
  <c r="B614" i="45"/>
  <c r="N614" i="45"/>
  <c r="O614" i="45"/>
  <c r="P614" i="45"/>
  <c r="Q614" i="45"/>
  <c r="A615" i="45"/>
  <c r="B615" i="45"/>
  <c r="N615" i="45"/>
  <c r="O615" i="45"/>
  <c r="P615" i="45"/>
  <c r="Q615" i="45"/>
  <c r="A616" i="45"/>
  <c r="B616" i="45"/>
  <c r="N616" i="45"/>
  <c r="O616" i="45"/>
  <c r="P616" i="45"/>
  <c r="Q616" i="45"/>
  <c r="A617" i="45"/>
  <c r="B617" i="45"/>
  <c r="N617" i="45"/>
  <c r="O617" i="45"/>
  <c r="P617" i="45"/>
  <c r="Q617" i="45"/>
  <c r="A618" i="45"/>
  <c r="B618" i="45"/>
  <c r="N618" i="45"/>
  <c r="O618" i="45"/>
  <c r="P618" i="45"/>
  <c r="Q618" i="45"/>
  <c r="A619" i="45"/>
  <c r="B619" i="45"/>
  <c r="N619" i="45"/>
  <c r="O619" i="45"/>
  <c r="P619" i="45"/>
  <c r="Q619" i="45"/>
  <c r="A620" i="45"/>
  <c r="B620" i="45"/>
  <c r="N620" i="45"/>
  <c r="O620" i="45"/>
  <c r="P620" i="45"/>
  <c r="Q620" i="45"/>
  <c r="A621" i="45"/>
  <c r="B621" i="45"/>
  <c r="N621" i="45"/>
  <c r="O621" i="45"/>
  <c r="P621" i="45"/>
  <c r="Q621" i="45"/>
  <c r="A622" i="45"/>
  <c r="B622" i="45"/>
  <c r="N622" i="45"/>
  <c r="O622" i="45"/>
  <c r="P622" i="45"/>
  <c r="Q622" i="45"/>
  <c r="A623" i="45"/>
  <c r="B623" i="45"/>
  <c r="N623" i="45"/>
  <c r="O623" i="45"/>
  <c r="P623" i="45"/>
  <c r="Q623" i="45"/>
  <c r="A624" i="45"/>
  <c r="B624" i="45"/>
  <c r="N624" i="45"/>
  <c r="O624" i="45"/>
  <c r="P624" i="45"/>
  <c r="Q624" i="45"/>
  <c r="A625" i="45"/>
  <c r="B625" i="45"/>
  <c r="N625" i="45"/>
  <c r="O625" i="45"/>
  <c r="P625" i="45"/>
  <c r="Q625" i="45"/>
  <c r="A626" i="45"/>
  <c r="B626" i="45"/>
  <c r="N626" i="45"/>
  <c r="O626" i="45"/>
  <c r="P626" i="45"/>
  <c r="Q626" i="45"/>
  <c r="A627" i="45"/>
  <c r="B627" i="45"/>
  <c r="N627" i="45"/>
  <c r="O627" i="45"/>
  <c r="P627" i="45"/>
  <c r="Q627" i="45"/>
  <c r="A628" i="45"/>
  <c r="B628" i="45"/>
  <c r="N628" i="45"/>
  <c r="O628" i="45"/>
  <c r="P628" i="45"/>
  <c r="Q628" i="45"/>
  <c r="A629" i="45"/>
  <c r="B629" i="45"/>
  <c r="N629" i="45"/>
  <c r="O629" i="45"/>
  <c r="P629" i="45"/>
  <c r="Q629" i="45"/>
  <c r="A630" i="45"/>
  <c r="B630" i="45"/>
  <c r="N630" i="45"/>
  <c r="O630" i="45"/>
  <c r="P630" i="45"/>
  <c r="Q630" i="45"/>
  <c r="A631" i="45"/>
  <c r="B631" i="45"/>
  <c r="N631" i="45"/>
  <c r="O631" i="45"/>
  <c r="P631" i="45"/>
  <c r="Q631" i="45"/>
  <c r="A632" i="45"/>
  <c r="B632" i="45"/>
  <c r="N632" i="45"/>
  <c r="O632" i="45"/>
  <c r="P632" i="45"/>
  <c r="Q632" i="45"/>
  <c r="A633" i="45"/>
  <c r="B633" i="45"/>
  <c r="N633" i="45"/>
  <c r="O633" i="45"/>
  <c r="P633" i="45"/>
  <c r="Q633" i="45"/>
  <c r="A634" i="45"/>
  <c r="B634" i="45"/>
  <c r="N634" i="45"/>
  <c r="O634" i="45"/>
  <c r="P634" i="45"/>
  <c r="Q634" i="45"/>
  <c r="A635" i="45"/>
  <c r="B635" i="45"/>
  <c r="N635" i="45"/>
  <c r="O635" i="45"/>
  <c r="P635" i="45"/>
  <c r="Q635" i="45"/>
  <c r="A636" i="45"/>
  <c r="B636" i="45"/>
  <c r="N636" i="45"/>
  <c r="O636" i="45"/>
  <c r="P636" i="45"/>
  <c r="Q636" i="45"/>
  <c r="A637" i="45"/>
  <c r="B637" i="45"/>
  <c r="N637" i="45"/>
  <c r="O637" i="45"/>
  <c r="P637" i="45"/>
  <c r="Q637" i="45"/>
  <c r="A638" i="45"/>
  <c r="B638" i="45"/>
  <c r="N638" i="45"/>
  <c r="O638" i="45"/>
  <c r="P638" i="45"/>
  <c r="Q638" i="45"/>
  <c r="A639" i="45"/>
  <c r="B639" i="45"/>
  <c r="N639" i="45"/>
  <c r="O639" i="45"/>
  <c r="P639" i="45"/>
  <c r="Q639" i="45"/>
  <c r="A640" i="45"/>
  <c r="B640" i="45"/>
  <c r="N640" i="45"/>
  <c r="O640" i="45"/>
  <c r="P640" i="45"/>
  <c r="Q640" i="45"/>
  <c r="A641" i="45"/>
  <c r="B641" i="45"/>
  <c r="N641" i="45"/>
  <c r="O641" i="45"/>
  <c r="P641" i="45"/>
  <c r="Q641" i="45"/>
  <c r="A642" i="45"/>
  <c r="B642" i="45"/>
  <c r="N642" i="45"/>
  <c r="O642" i="45"/>
  <c r="P642" i="45"/>
  <c r="Q642" i="45"/>
  <c r="A643" i="45"/>
  <c r="B643" i="45"/>
  <c r="N643" i="45"/>
  <c r="O643" i="45"/>
  <c r="P643" i="45"/>
  <c r="Q643" i="45"/>
  <c r="A644" i="45"/>
  <c r="B644" i="45"/>
  <c r="N644" i="45"/>
  <c r="O644" i="45"/>
  <c r="P644" i="45"/>
  <c r="Q644" i="45"/>
  <c r="A645" i="45"/>
  <c r="B645" i="45"/>
  <c r="N645" i="45"/>
  <c r="O645" i="45"/>
  <c r="P645" i="45"/>
  <c r="Q645" i="45"/>
  <c r="A646" i="45"/>
  <c r="B646" i="45"/>
  <c r="N646" i="45"/>
  <c r="O646" i="45"/>
  <c r="P646" i="45"/>
  <c r="Q646" i="45"/>
  <c r="A647" i="45"/>
  <c r="B647" i="45"/>
  <c r="N647" i="45"/>
  <c r="O647" i="45"/>
  <c r="P647" i="45"/>
  <c r="Q647" i="45"/>
  <c r="A648" i="45"/>
  <c r="B648" i="45"/>
  <c r="N648" i="45"/>
  <c r="O648" i="45"/>
  <c r="P648" i="45"/>
  <c r="Q648" i="45"/>
  <c r="A649" i="45"/>
  <c r="B649" i="45"/>
  <c r="N649" i="45"/>
  <c r="O649" i="45"/>
  <c r="P649" i="45"/>
  <c r="Q649" i="45"/>
  <c r="A650" i="45"/>
  <c r="B650" i="45"/>
  <c r="N650" i="45"/>
  <c r="O650" i="45"/>
  <c r="P650" i="45"/>
  <c r="Q650" i="45"/>
  <c r="A651" i="45"/>
  <c r="B651" i="45"/>
  <c r="N651" i="45"/>
  <c r="O651" i="45"/>
  <c r="P651" i="45"/>
  <c r="Q651" i="45"/>
  <c r="A652" i="45"/>
  <c r="B652" i="45"/>
  <c r="N652" i="45"/>
  <c r="O652" i="45"/>
  <c r="P652" i="45"/>
  <c r="Q652" i="45"/>
  <c r="A653" i="45"/>
  <c r="B653" i="45"/>
  <c r="N653" i="45"/>
  <c r="O653" i="45"/>
  <c r="P653" i="45"/>
  <c r="Q653" i="45"/>
  <c r="A654" i="45"/>
  <c r="B654" i="45"/>
  <c r="N654" i="45"/>
  <c r="O654" i="45"/>
  <c r="P654" i="45"/>
  <c r="Q654" i="45"/>
  <c r="A655" i="45"/>
  <c r="B655" i="45"/>
  <c r="N655" i="45"/>
  <c r="O655" i="45"/>
  <c r="P655" i="45"/>
  <c r="Q655" i="45"/>
  <c r="A656" i="45"/>
  <c r="B656" i="45"/>
  <c r="N656" i="45"/>
  <c r="O656" i="45"/>
  <c r="P656" i="45"/>
  <c r="Q656" i="45"/>
  <c r="A657" i="45"/>
  <c r="B657" i="45"/>
  <c r="N657" i="45"/>
  <c r="O657" i="45"/>
  <c r="P657" i="45"/>
  <c r="Q657" i="45"/>
  <c r="A658" i="45"/>
  <c r="B658" i="45"/>
  <c r="N658" i="45"/>
  <c r="O658" i="45"/>
  <c r="P658" i="45"/>
  <c r="Q658" i="45"/>
  <c r="A659" i="45"/>
  <c r="B659" i="45"/>
  <c r="N659" i="45"/>
  <c r="O659" i="45"/>
  <c r="P659" i="45"/>
  <c r="Q659" i="45"/>
  <c r="A660" i="45"/>
  <c r="B660" i="45"/>
  <c r="N660" i="45"/>
  <c r="O660" i="45"/>
  <c r="P660" i="45"/>
  <c r="Q660" i="45"/>
  <c r="A661" i="45"/>
  <c r="B661" i="45"/>
  <c r="N661" i="45"/>
  <c r="O661" i="45"/>
  <c r="P661" i="45"/>
  <c r="Q661" i="45"/>
  <c r="A662" i="45"/>
  <c r="B662" i="45"/>
  <c r="N662" i="45"/>
  <c r="O662" i="45"/>
  <c r="P662" i="45"/>
  <c r="Q662" i="45"/>
  <c r="A663" i="45"/>
  <c r="B663" i="45"/>
  <c r="N663" i="45"/>
  <c r="O663" i="45"/>
  <c r="P663" i="45"/>
  <c r="Q663" i="45"/>
  <c r="A664" i="45"/>
  <c r="B664" i="45"/>
  <c r="N664" i="45"/>
  <c r="O664" i="45"/>
  <c r="P664" i="45"/>
  <c r="Q664" i="45"/>
  <c r="A665" i="45"/>
  <c r="B665" i="45"/>
  <c r="N665" i="45"/>
  <c r="O665" i="45"/>
  <c r="P665" i="45"/>
  <c r="Q665" i="45"/>
  <c r="A666" i="45"/>
  <c r="B666" i="45"/>
  <c r="N666" i="45"/>
  <c r="O666" i="45"/>
  <c r="P666" i="45"/>
  <c r="Q666" i="45"/>
  <c r="A667" i="45"/>
  <c r="B667" i="45"/>
  <c r="N667" i="45"/>
  <c r="O667" i="45"/>
  <c r="P667" i="45"/>
  <c r="Q667" i="45"/>
  <c r="A668" i="45"/>
  <c r="B668" i="45"/>
  <c r="N668" i="45"/>
  <c r="O668" i="45"/>
  <c r="P668" i="45"/>
  <c r="Q668" i="45"/>
  <c r="A669" i="45"/>
  <c r="B669" i="45"/>
  <c r="N669" i="45"/>
  <c r="O669" i="45"/>
  <c r="P669" i="45"/>
  <c r="Q669" i="45"/>
  <c r="A670" i="45"/>
  <c r="B670" i="45"/>
  <c r="N670" i="45"/>
  <c r="O670" i="45"/>
  <c r="P670" i="45"/>
  <c r="Q670" i="45"/>
  <c r="A671" i="45"/>
  <c r="B671" i="45"/>
  <c r="N671" i="45"/>
  <c r="O671" i="45"/>
  <c r="P671" i="45"/>
  <c r="Q671" i="45"/>
  <c r="A672" i="45"/>
  <c r="B672" i="45"/>
  <c r="N672" i="45"/>
  <c r="O672" i="45"/>
  <c r="P672" i="45"/>
  <c r="Q672" i="45"/>
  <c r="A673" i="45"/>
  <c r="B673" i="45"/>
  <c r="N673" i="45"/>
  <c r="O673" i="45"/>
  <c r="P673" i="45"/>
  <c r="Q673" i="45"/>
  <c r="A674" i="45"/>
  <c r="B674" i="45"/>
  <c r="N674" i="45"/>
  <c r="O674" i="45"/>
  <c r="P674" i="45"/>
  <c r="Q674" i="45"/>
  <c r="A675" i="45"/>
  <c r="B675" i="45"/>
  <c r="N675" i="45"/>
  <c r="O675" i="45"/>
  <c r="P675" i="45"/>
  <c r="Q675" i="45"/>
  <c r="A676" i="45"/>
  <c r="B676" i="45"/>
  <c r="N676" i="45"/>
  <c r="O676" i="45"/>
  <c r="P676" i="45"/>
  <c r="Q676" i="45"/>
  <c r="A677" i="45"/>
  <c r="B677" i="45"/>
  <c r="N677" i="45"/>
  <c r="O677" i="45"/>
  <c r="P677" i="45"/>
  <c r="Q677" i="45"/>
  <c r="A678" i="45"/>
  <c r="B678" i="45"/>
  <c r="N678" i="45"/>
  <c r="O678" i="45"/>
  <c r="P678" i="45"/>
  <c r="Q678" i="45"/>
  <c r="A679" i="45"/>
  <c r="B679" i="45"/>
  <c r="N679" i="45"/>
  <c r="O679" i="45"/>
  <c r="P679" i="45"/>
  <c r="Q679" i="45"/>
  <c r="A680" i="45"/>
  <c r="B680" i="45"/>
  <c r="N680" i="45"/>
  <c r="O680" i="45"/>
  <c r="P680" i="45"/>
  <c r="Q680" i="45"/>
  <c r="A681" i="45"/>
  <c r="B681" i="45"/>
  <c r="N681" i="45"/>
  <c r="O681" i="45"/>
  <c r="P681" i="45"/>
  <c r="Q681" i="45"/>
  <c r="A682" i="45"/>
  <c r="B682" i="45"/>
  <c r="N682" i="45"/>
  <c r="O682" i="45"/>
  <c r="P682" i="45"/>
  <c r="Q682" i="45"/>
  <c r="A683" i="45"/>
  <c r="B683" i="45"/>
  <c r="N683" i="45"/>
  <c r="O683" i="45"/>
  <c r="P683" i="45"/>
  <c r="Q683" i="45"/>
  <c r="A684" i="45"/>
  <c r="B684" i="45"/>
  <c r="N684" i="45"/>
  <c r="O684" i="45"/>
  <c r="P684" i="45"/>
  <c r="Q684" i="45"/>
  <c r="A685" i="45"/>
  <c r="B685" i="45"/>
  <c r="N685" i="45"/>
  <c r="O685" i="45"/>
  <c r="P685" i="45"/>
  <c r="Q685" i="45"/>
  <c r="A686" i="45"/>
  <c r="B686" i="45"/>
  <c r="N686" i="45"/>
  <c r="O686" i="45"/>
  <c r="P686" i="45"/>
  <c r="Q686" i="45"/>
  <c r="A687" i="45"/>
  <c r="B687" i="45"/>
  <c r="N687" i="45"/>
  <c r="O687" i="45"/>
  <c r="P687" i="45"/>
  <c r="Q687" i="45"/>
  <c r="A688" i="45"/>
  <c r="B688" i="45"/>
  <c r="N688" i="45"/>
  <c r="O688" i="45"/>
  <c r="P688" i="45"/>
  <c r="Q688" i="45"/>
  <c r="A689" i="45"/>
  <c r="B689" i="45"/>
  <c r="N689" i="45"/>
  <c r="O689" i="45"/>
  <c r="P689" i="45"/>
  <c r="Q689" i="45"/>
  <c r="A690" i="45"/>
  <c r="B690" i="45"/>
  <c r="N690" i="45"/>
  <c r="O690" i="45"/>
  <c r="P690" i="45"/>
  <c r="Q690" i="45"/>
  <c r="A691" i="45"/>
  <c r="B691" i="45"/>
  <c r="N691" i="45"/>
  <c r="O691" i="45"/>
  <c r="P691" i="45"/>
  <c r="Q691" i="45"/>
  <c r="A692" i="45"/>
  <c r="B692" i="45"/>
  <c r="N692" i="45"/>
  <c r="O692" i="45"/>
  <c r="P692" i="45"/>
  <c r="Q692" i="45"/>
  <c r="A693" i="45"/>
  <c r="B693" i="45"/>
  <c r="N693" i="45"/>
  <c r="O693" i="45"/>
  <c r="P693" i="45"/>
  <c r="Q693" i="45"/>
  <c r="A694" i="45"/>
  <c r="B694" i="45"/>
  <c r="N694" i="45"/>
  <c r="O694" i="45"/>
  <c r="P694" i="45"/>
  <c r="Q694" i="45"/>
  <c r="A695" i="45"/>
  <c r="B695" i="45"/>
  <c r="N695" i="45"/>
  <c r="O695" i="45"/>
  <c r="P695" i="45"/>
  <c r="Q695" i="45"/>
  <c r="A696" i="45"/>
  <c r="B696" i="45"/>
  <c r="N696" i="45"/>
  <c r="O696" i="45"/>
  <c r="P696" i="45"/>
  <c r="Q696" i="45"/>
  <c r="A697" i="45"/>
  <c r="B697" i="45"/>
  <c r="N697" i="45"/>
  <c r="O697" i="45"/>
  <c r="P697" i="45"/>
  <c r="Q697" i="45"/>
  <c r="A698" i="45"/>
  <c r="B698" i="45"/>
  <c r="N698" i="45"/>
  <c r="O698" i="45"/>
  <c r="P698" i="45"/>
  <c r="Q698" i="45"/>
  <c r="A699" i="45"/>
  <c r="B699" i="45"/>
  <c r="N699" i="45"/>
  <c r="O699" i="45"/>
  <c r="P699" i="45"/>
  <c r="Q699" i="45"/>
  <c r="A700" i="45"/>
  <c r="B700" i="45"/>
  <c r="N700" i="45"/>
  <c r="O700" i="45"/>
  <c r="P700" i="45"/>
  <c r="Q700" i="45"/>
  <c r="A701" i="45"/>
  <c r="B701" i="45"/>
  <c r="N701" i="45"/>
  <c r="O701" i="45"/>
  <c r="P701" i="45"/>
  <c r="Q701" i="45"/>
  <c r="A702" i="45"/>
  <c r="B702" i="45"/>
  <c r="N702" i="45"/>
  <c r="O702" i="45"/>
  <c r="P702" i="45"/>
  <c r="Q702" i="45"/>
  <c r="A703" i="45"/>
  <c r="B703" i="45"/>
  <c r="N703" i="45"/>
  <c r="O703" i="45"/>
  <c r="P703" i="45"/>
  <c r="Q703" i="45"/>
  <c r="A704" i="45"/>
  <c r="B704" i="45"/>
  <c r="N704" i="45"/>
  <c r="O704" i="45"/>
  <c r="P704" i="45"/>
  <c r="Q704" i="45"/>
  <c r="A705" i="45"/>
  <c r="B705" i="45"/>
  <c r="N705" i="45"/>
  <c r="O705" i="45"/>
  <c r="P705" i="45"/>
  <c r="Q705" i="45"/>
  <c r="A706" i="45"/>
  <c r="B706" i="45"/>
  <c r="N706" i="45"/>
  <c r="O706" i="45"/>
  <c r="P706" i="45"/>
  <c r="Q706" i="45"/>
  <c r="A707" i="45"/>
  <c r="B707" i="45"/>
  <c r="N707" i="45"/>
  <c r="O707" i="45"/>
  <c r="P707" i="45"/>
  <c r="Q707" i="45"/>
  <c r="A708" i="45"/>
  <c r="B708" i="45"/>
  <c r="N708" i="45"/>
  <c r="O708" i="45"/>
  <c r="P708" i="45"/>
  <c r="Q708" i="45"/>
  <c r="A709" i="45"/>
  <c r="B709" i="45"/>
  <c r="N709" i="45"/>
  <c r="O709" i="45"/>
  <c r="P709" i="45"/>
  <c r="Q709" i="45"/>
  <c r="A710" i="45"/>
  <c r="B710" i="45"/>
  <c r="N710" i="45"/>
  <c r="O710" i="45"/>
  <c r="P710" i="45"/>
  <c r="Q710" i="45"/>
  <c r="A711" i="45"/>
  <c r="B711" i="45"/>
  <c r="N711" i="45"/>
  <c r="O711" i="45"/>
  <c r="P711" i="45"/>
  <c r="Q711" i="45"/>
  <c r="A712" i="45"/>
  <c r="B712" i="45"/>
  <c r="N712" i="45"/>
  <c r="O712" i="45"/>
  <c r="P712" i="45"/>
  <c r="Q712" i="45"/>
  <c r="A713" i="45"/>
  <c r="B713" i="45"/>
  <c r="N713" i="45"/>
  <c r="O713" i="45"/>
  <c r="P713" i="45"/>
  <c r="Q713" i="45"/>
  <c r="A714" i="45"/>
  <c r="B714" i="45"/>
  <c r="N714" i="45"/>
  <c r="O714" i="45"/>
  <c r="P714" i="45"/>
  <c r="Q714" i="45"/>
  <c r="A715" i="45"/>
  <c r="B715" i="45"/>
  <c r="N715" i="45"/>
  <c r="O715" i="45"/>
  <c r="P715" i="45"/>
  <c r="Q715" i="45"/>
  <c r="A716" i="45"/>
  <c r="B716" i="45"/>
  <c r="N716" i="45"/>
  <c r="O716" i="45"/>
  <c r="P716" i="45"/>
  <c r="Q716" i="45"/>
  <c r="A717" i="45"/>
  <c r="B717" i="45"/>
  <c r="N717" i="45"/>
  <c r="O717" i="45"/>
  <c r="P717" i="45"/>
  <c r="Q717" i="45"/>
  <c r="A718" i="45"/>
  <c r="B718" i="45"/>
  <c r="N718" i="45"/>
  <c r="O718" i="45"/>
  <c r="P718" i="45"/>
  <c r="Q718" i="45"/>
  <c r="A719" i="45"/>
  <c r="B719" i="45"/>
  <c r="N719" i="45"/>
  <c r="O719" i="45"/>
  <c r="P719" i="45"/>
  <c r="Q719" i="45"/>
  <c r="A720" i="45"/>
  <c r="B720" i="45"/>
  <c r="N720" i="45"/>
  <c r="O720" i="45"/>
  <c r="P720" i="45"/>
  <c r="Q720" i="45"/>
  <c r="A721" i="45"/>
  <c r="B721" i="45"/>
  <c r="N721" i="45"/>
  <c r="O721" i="45"/>
  <c r="P721" i="45"/>
  <c r="Q721" i="45"/>
  <c r="A722" i="45"/>
  <c r="B722" i="45"/>
  <c r="N722" i="45"/>
  <c r="O722" i="45"/>
  <c r="P722" i="45"/>
  <c r="Q722" i="45"/>
  <c r="A723" i="45"/>
  <c r="B723" i="45"/>
  <c r="N723" i="45"/>
  <c r="O723" i="45"/>
  <c r="P723" i="45"/>
  <c r="Q723" i="45"/>
  <c r="A724" i="45"/>
  <c r="B724" i="45"/>
  <c r="N724" i="45"/>
  <c r="O724" i="45"/>
  <c r="P724" i="45"/>
  <c r="Q724" i="45"/>
  <c r="A725" i="45"/>
  <c r="B725" i="45"/>
  <c r="N725" i="45"/>
  <c r="O725" i="45"/>
  <c r="P725" i="45"/>
  <c r="Q725" i="45"/>
  <c r="A726" i="45"/>
  <c r="B726" i="45"/>
  <c r="N726" i="45"/>
  <c r="O726" i="45"/>
  <c r="P726" i="45"/>
  <c r="Q726" i="45"/>
  <c r="A727" i="45"/>
  <c r="B727" i="45"/>
  <c r="N727" i="45"/>
  <c r="O727" i="45"/>
  <c r="P727" i="45"/>
  <c r="Q727" i="45"/>
  <c r="A728" i="45"/>
  <c r="B728" i="45"/>
  <c r="N728" i="45"/>
  <c r="O728" i="45"/>
  <c r="P728" i="45"/>
  <c r="Q728" i="45"/>
  <c r="A729" i="45"/>
  <c r="B729" i="45"/>
  <c r="N729" i="45"/>
  <c r="O729" i="45"/>
  <c r="P729" i="45"/>
  <c r="Q729" i="45"/>
  <c r="A730" i="45"/>
  <c r="B730" i="45"/>
  <c r="N730" i="45"/>
  <c r="O730" i="45"/>
  <c r="P730" i="45"/>
  <c r="Q730" i="45"/>
  <c r="A731" i="45"/>
  <c r="B731" i="45"/>
  <c r="N731" i="45"/>
  <c r="O731" i="45"/>
  <c r="P731" i="45"/>
  <c r="Q731" i="45"/>
  <c r="A732" i="45"/>
  <c r="B732" i="45"/>
  <c r="N732" i="45"/>
  <c r="O732" i="45"/>
  <c r="P732" i="45"/>
  <c r="Q732" i="45"/>
  <c r="A733" i="45"/>
  <c r="B733" i="45"/>
  <c r="N733" i="45"/>
  <c r="O733" i="45"/>
  <c r="P733" i="45"/>
  <c r="Q733" i="45"/>
  <c r="A734" i="45"/>
  <c r="B734" i="45"/>
  <c r="N734" i="45"/>
  <c r="O734" i="45"/>
  <c r="P734" i="45"/>
  <c r="Q734" i="45"/>
  <c r="A735" i="45"/>
  <c r="B735" i="45"/>
  <c r="N735" i="45"/>
  <c r="O735" i="45"/>
  <c r="P735" i="45"/>
  <c r="Q735" i="45"/>
  <c r="A736" i="45"/>
  <c r="B736" i="45"/>
  <c r="N736" i="45"/>
  <c r="O736" i="45"/>
  <c r="P736" i="45"/>
  <c r="Q736" i="45"/>
  <c r="A737" i="45"/>
  <c r="B737" i="45"/>
  <c r="N737" i="45"/>
  <c r="O737" i="45"/>
  <c r="P737" i="45"/>
  <c r="Q737" i="45"/>
  <c r="A738" i="45"/>
  <c r="B738" i="45"/>
  <c r="N738" i="45"/>
  <c r="O738" i="45"/>
  <c r="P738" i="45"/>
  <c r="Q738" i="45"/>
  <c r="A739" i="45"/>
  <c r="B739" i="45"/>
  <c r="N739" i="45"/>
  <c r="O739" i="45"/>
  <c r="P739" i="45"/>
  <c r="Q739" i="45"/>
  <c r="A740" i="45"/>
  <c r="B740" i="45"/>
  <c r="N740" i="45"/>
  <c r="O740" i="45"/>
  <c r="P740" i="45"/>
  <c r="Q740" i="45"/>
  <c r="A741" i="45"/>
  <c r="B741" i="45"/>
  <c r="N741" i="45"/>
  <c r="O741" i="45"/>
  <c r="P741" i="45"/>
  <c r="Q741" i="45"/>
  <c r="A742" i="45"/>
  <c r="B742" i="45"/>
  <c r="N742" i="45"/>
  <c r="O742" i="45"/>
  <c r="P742" i="45"/>
  <c r="Q742" i="45"/>
  <c r="A743" i="45"/>
  <c r="B743" i="45"/>
  <c r="N743" i="45"/>
  <c r="O743" i="45"/>
  <c r="P743" i="45"/>
  <c r="Q743" i="45"/>
  <c r="A744" i="45"/>
  <c r="B744" i="45"/>
  <c r="N744" i="45"/>
  <c r="O744" i="45"/>
  <c r="P744" i="45"/>
  <c r="Q744" i="45"/>
  <c r="A745" i="45"/>
  <c r="B745" i="45"/>
  <c r="N745" i="45"/>
  <c r="O745" i="45"/>
  <c r="P745" i="45"/>
  <c r="Q745" i="45"/>
  <c r="A746" i="45"/>
  <c r="B746" i="45"/>
  <c r="N746" i="45"/>
  <c r="O746" i="45"/>
  <c r="P746" i="45"/>
  <c r="Q746" i="45"/>
  <c r="A747" i="45"/>
  <c r="B747" i="45"/>
  <c r="N747" i="45"/>
  <c r="O747" i="45"/>
  <c r="P747" i="45"/>
  <c r="Q747" i="45"/>
  <c r="A748" i="45"/>
  <c r="B748" i="45"/>
  <c r="N748" i="45"/>
  <c r="O748" i="45"/>
  <c r="P748" i="45"/>
  <c r="Q748" i="45"/>
  <c r="A749" i="45"/>
  <c r="B749" i="45"/>
  <c r="N749" i="45"/>
  <c r="O749" i="45"/>
  <c r="P749" i="45"/>
  <c r="Q749" i="45"/>
  <c r="A750" i="45"/>
  <c r="B750" i="45"/>
  <c r="N750" i="45"/>
  <c r="O750" i="45"/>
  <c r="P750" i="45"/>
  <c r="Q750" i="45"/>
  <c r="A751" i="45"/>
  <c r="B751" i="45"/>
  <c r="N751" i="45"/>
  <c r="O751" i="45"/>
  <c r="P751" i="45"/>
  <c r="Q751" i="45"/>
  <c r="A752" i="45"/>
  <c r="B752" i="45"/>
  <c r="N752" i="45"/>
  <c r="O752" i="45"/>
  <c r="P752" i="45"/>
  <c r="Q752" i="45"/>
  <c r="A753" i="45"/>
  <c r="B753" i="45"/>
  <c r="N753" i="45"/>
  <c r="O753" i="45"/>
  <c r="P753" i="45"/>
  <c r="Q753" i="45"/>
  <c r="A754" i="45"/>
  <c r="B754" i="45"/>
  <c r="N754" i="45"/>
  <c r="O754" i="45"/>
  <c r="P754" i="45"/>
  <c r="Q754" i="45"/>
  <c r="A755" i="45"/>
  <c r="B755" i="45"/>
  <c r="N755" i="45"/>
  <c r="O755" i="45"/>
  <c r="P755" i="45"/>
  <c r="Q755" i="45"/>
  <c r="A756" i="45"/>
  <c r="B756" i="45"/>
  <c r="N756" i="45"/>
  <c r="O756" i="45"/>
  <c r="P756" i="45"/>
  <c r="Q756" i="45"/>
  <c r="A757" i="45"/>
  <c r="B757" i="45"/>
  <c r="N757" i="45"/>
  <c r="O757" i="45"/>
  <c r="P757" i="45"/>
  <c r="Q757" i="45"/>
  <c r="A758" i="45"/>
  <c r="B758" i="45"/>
  <c r="N758" i="45"/>
  <c r="O758" i="45"/>
  <c r="P758" i="45"/>
  <c r="Q758" i="45"/>
  <c r="A759" i="45"/>
  <c r="B759" i="45"/>
  <c r="N759" i="45"/>
  <c r="O759" i="45"/>
  <c r="P759" i="45"/>
  <c r="Q759" i="45"/>
  <c r="A760" i="45"/>
  <c r="B760" i="45"/>
  <c r="N760" i="45"/>
  <c r="O760" i="45"/>
  <c r="P760" i="45"/>
  <c r="Q760" i="45"/>
  <c r="A761" i="45"/>
  <c r="B761" i="45"/>
  <c r="N761" i="45"/>
  <c r="O761" i="45"/>
  <c r="P761" i="45"/>
  <c r="Q761" i="45"/>
  <c r="A762" i="45"/>
  <c r="B762" i="45"/>
  <c r="N762" i="45"/>
  <c r="O762" i="45"/>
  <c r="P762" i="45"/>
  <c r="Q762" i="45"/>
  <c r="A763" i="45"/>
  <c r="B763" i="45"/>
  <c r="N763" i="45"/>
  <c r="O763" i="45"/>
  <c r="P763" i="45"/>
  <c r="Q763" i="45"/>
  <c r="A764" i="45"/>
  <c r="B764" i="45"/>
  <c r="N764" i="45"/>
  <c r="O764" i="45"/>
  <c r="P764" i="45"/>
  <c r="Q764" i="45"/>
  <c r="A765" i="45"/>
  <c r="B765" i="45"/>
  <c r="N765" i="45"/>
  <c r="O765" i="45"/>
  <c r="P765" i="45"/>
  <c r="Q765" i="45"/>
  <c r="A766" i="45"/>
  <c r="B766" i="45"/>
  <c r="N766" i="45"/>
  <c r="O766" i="45"/>
  <c r="P766" i="45"/>
  <c r="Q766" i="45"/>
  <c r="A767" i="45"/>
  <c r="B767" i="45"/>
  <c r="N767" i="45"/>
  <c r="O767" i="45"/>
  <c r="P767" i="45"/>
  <c r="Q767" i="45"/>
  <c r="A768" i="45"/>
  <c r="B768" i="45"/>
  <c r="N768" i="45"/>
  <c r="O768" i="45"/>
  <c r="P768" i="45"/>
  <c r="Q768" i="45"/>
  <c r="A769" i="45"/>
  <c r="B769" i="45"/>
  <c r="N769" i="45"/>
  <c r="O769" i="45"/>
  <c r="P769" i="45"/>
  <c r="Q769" i="45"/>
  <c r="A770" i="45"/>
  <c r="B770" i="45"/>
  <c r="N770" i="45"/>
  <c r="O770" i="45"/>
  <c r="P770" i="45"/>
  <c r="Q770" i="45"/>
  <c r="A771" i="45"/>
  <c r="B771" i="45"/>
  <c r="N771" i="45"/>
  <c r="O771" i="45"/>
  <c r="P771" i="45"/>
  <c r="Q771" i="45"/>
  <c r="A772" i="45"/>
  <c r="B772" i="45"/>
  <c r="N772" i="45"/>
  <c r="O772" i="45"/>
  <c r="P772" i="45"/>
  <c r="Q772" i="45"/>
  <c r="A773" i="45"/>
  <c r="B773" i="45"/>
  <c r="N773" i="45"/>
  <c r="O773" i="45"/>
  <c r="P773" i="45"/>
  <c r="Q773" i="45"/>
  <c r="A774" i="45"/>
  <c r="B774" i="45"/>
  <c r="N774" i="45"/>
  <c r="O774" i="45"/>
  <c r="P774" i="45"/>
  <c r="Q774" i="45"/>
  <c r="A775" i="45"/>
  <c r="B775" i="45"/>
  <c r="N775" i="45"/>
  <c r="O775" i="45"/>
  <c r="P775" i="45"/>
  <c r="Q775" i="45"/>
  <c r="A776" i="45"/>
  <c r="B776" i="45"/>
  <c r="N776" i="45"/>
  <c r="O776" i="45"/>
  <c r="P776" i="45"/>
  <c r="Q776" i="45"/>
  <c r="A777" i="45"/>
  <c r="B777" i="45"/>
  <c r="N777" i="45"/>
  <c r="O777" i="45"/>
  <c r="P777" i="45"/>
  <c r="Q777" i="45"/>
  <c r="A778" i="45"/>
  <c r="B778" i="45"/>
  <c r="N778" i="45"/>
  <c r="O778" i="45"/>
  <c r="P778" i="45"/>
  <c r="Q778" i="45"/>
  <c r="A779" i="45"/>
  <c r="B779" i="45"/>
  <c r="N779" i="45"/>
  <c r="O779" i="45"/>
  <c r="P779" i="45"/>
  <c r="Q779" i="45"/>
  <c r="A780" i="45"/>
  <c r="B780" i="45"/>
  <c r="N780" i="45"/>
  <c r="O780" i="45"/>
  <c r="P780" i="45"/>
  <c r="Q780" i="45"/>
  <c r="A781" i="45"/>
  <c r="B781" i="45"/>
  <c r="N781" i="45"/>
  <c r="O781" i="45"/>
  <c r="P781" i="45"/>
  <c r="Q781" i="45"/>
  <c r="A782" i="45"/>
  <c r="B782" i="45"/>
  <c r="N782" i="45"/>
  <c r="O782" i="45"/>
  <c r="P782" i="45"/>
  <c r="Q782" i="45"/>
  <c r="A783" i="45"/>
  <c r="B783" i="45"/>
  <c r="N783" i="45"/>
  <c r="O783" i="45"/>
  <c r="P783" i="45"/>
  <c r="Q783" i="45"/>
  <c r="A784" i="45"/>
  <c r="B784" i="45"/>
  <c r="N784" i="45"/>
  <c r="O784" i="45"/>
  <c r="P784" i="45"/>
  <c r="Q784" i="45"/>
  <c r="A785" i="45"/>
  <c r="B785" i="45"/>
  <c r="N785" i="45"/>
  <c r="O785" i="45"/>
  <c r="P785" i="45"/>
  <c r="Q785" i="45"/>
  <c r="A786" i="45"/>
  <c r="B786" i="45"/>
  <c r="N786" i="45"/>
  <c r="O786" i="45"/>
  <c r="P786" i="45"/>
  <c r="Q786" i="45"/>
  <c r="A787" i="45"/>
  <c r="B787" i="45"/>
  <c r="N787" i="45"/>
  <c r="O787" i="45"/>
  <c r="P787" i="45"/>
  <c r="Q787" i="45"/>
  <c r="A788" i="45"/>
  <c r="B788" i="45"/>
  <c r="N788" i="45"/>
  <c r="O788" i="45"/>
  <c r="P788" i="45"/>
  <c r="Q788" i="45"/>
  <c r="A789" i="45"/>
  <c r="B789" i="45"/>
  <c r="N789" i="45"/>
  <c r="O789" i="45"/>
  <c r="P789" i="45"/>
  <c r="Q789" i="45"/>
  <c r="A790" i="45"/>
  <c r="B790" i="45"/>
  <c r="N790" i="45"/>
  <c r="O790" i="45"/>
  <c r="P790" i="45"/>
  <c r="Q790" i="45"/>
  <c r="A791" i="45"/>
  <c r="B791" i="45"/>
  <c r="N791" i="45"/>
  <c r="O791" i="45"/>
  <c r="P791" i="45"/>
  <c r="Q791" i="45"/>
  <c r="A792" i="45"/>
  <c r="B792" i="45"/>
  <c r="N792" i="45"/>
  <c r="O792" i="45"/>
  <c r="P792" i="45"/>
  <c r="Q792" i="45"/>
  <c r="A793" i="45"/>
  <c r="B793" i="45"/>
  <c r="N793" i="45"/>
  <c r="O793" i="45"/>
  <c r="P793" i="45"/>
  <c r="Q793" i="45"/>
  <c r="A794" i="45"/>
  <c r="B794" i="45"/>
  <c r="N794" i="45"/>
  <c r="O794" i="45"/>
  <c r="P794" i="45"/>
  <c r="Q794" i="45"/>
  <c r="A795" i="45"/>
  <c r="B795" i="45"/>
  <c r="N795" i="45"/>
  <c r="O795" i="45"/>
  <c r="P795" i="45"/>
  <c r="Q795" i="45"/>
  <c r="A796" i="45"/>
  <c r="B796" i="45"/>
  <c r="N796" i="45"/>
  <c r="O796" i="45"/>
  <c r="P796" i="45"/>
  <c r="Q796" i="45"/>
  <c r="A797" i="45"/>
  <c r="B797" i="45"/>
  <c r="N797" i="45"/>
  <c r="O797" i="45"/>
  <c r="P797" i="45"/>
  <c r="Q797" i="45"/>
  <c r="A798" i="45"/>
  <c r="B798" i="45"/>
  <c r="N798" i="45"/>
  <c r="O798" i="45"/>
  <c r="P798" i="45"/>
  <c r="Q798" i="45"/>
  <c r="A799" i="45"/>
  <c r="B799" i="45"/>
  <c r="N799" i="45"/>
  <c r="O799" i="45"/>
  <c r="P799" i="45"/>
  <c r="Q799" i="45"/>
  <c r="A800" i="45"/>
  <c r="B800" i="45"/>
  <c r="N800" i="45"/>
  <c r="O800" i="45"/>
  <c r="P800" i="45"/>
  <c r="Q800" i="45"/>
  <c r="A801" i="45"/>
  <c r="B801" i="45"/>
  <c r="N801" i="45"/>
  <c r="O801" i="45"/>
  <c r="P801" i="45"/>
  <c r="Q801" i="45"/>
  <c r="A802" i="45"/>
  <c r="B802" i="45"/>
  <c r="N802" i="45"/>
  <c r="O802" i="45"/>
  <c r="P802" i="45"/>
  <c r="Q802" i="45"/>
  <c r="A803" i="45"/>
  <c r="B803" i="45"/>
  <c r="N803" i="45"/>
  <c r="O803" i="45"/>
  <c r="P803" i="45"/>
  <c r="Q803" i="45"/>
  <c r="A804" i="45"/>
  <c r="B804" i="45"/>
  <c r="N804" i="45"/>
  <c r="O804" i="45"/>
  <c r="P804" i="45"/>
  <c r="Q804" i="45"/>
  <c r="A805" i="45"/>
  <c r="B805" i="45"/>
  <c r="N805" i="45"/>
  <c r="O805" i="45"/>
  <c r="P805" i="45"/>
  <c r="Q805" i="45"/>
  <c r="A806" i="45"/>
  <c r="B806" i="45"/>
  <c r="N806" i="45"/>
  <c r="O806" i="45"/>
  <c r="P806" i="45"/>
  <c r="Q806" i="45"/>
  <c r="A807" i="45"/>
  <c r="B807" i="45"/>
  <c r="N807" i="45"/>
  <c r="O807" i="45"/>
  <c r="P807" i="45"/>
  <c r="Q807" i="45"/>
  <c r="A808" i="45"/>
  <c r="B808" i="45"/>
  <c r="N808" i="45"/>
  <c r="O808" i="45"/>
  <c r="P808" i="45"/>
  <c r="Q808" i="45"/>
  <c r="A809" i="45"/>
  <c r="B809" i="45"/>
  <c r="N809" i="45"/>
  <c r="O809" i="45"/>
  <c r="P809" i="45"/>
  <c r="Q809" i="45"/>
  <c r="A810" i="45"/>
  <c r="B810" i="45"/>
  <c r="N810" i="45"/>
  <c r="O810" i="45"/>
  <c r="P810" i="45"/>
  <c r="Q810" i="45"/>
  <c r="A811" i="45"/>
  <c r="B811" i="45"/>
  <c r="N811" i="45"/>
  <c r="O811" i="45"/>
  <c r="P811" i="45"/>
  <c r="Q811" i="45"/>
  <c r="A812" i="45"/>
  <c r="B812" i="45"/>
  <c r="N812" i="45"/>
  <c r="O812" i="45"/>
  <c r="P812" i="45"/>
  <c r="Q812" i="45"/>
  <c r="A813" i="45"/>
  <c r="B813" i="45"/>
  <c r="N813" i="45"/>
  <c r="O813" i="45"/>
  <c r="P813" i="45"/>
  <c r="Q813" i="45"/>
  <c r="A814" i="45"/>
  <c r="B814" i="45"/>
  <c r="N814" i="45"/>
  <c r="O814" i="45"/>
  <c r="P814" i="45"/>
  <c r="Q814" i="45"/>
  <c r="A815" i="45"/>
  <c r="B815" i="45"/>
  <c r="N815" i="45"/>
  <c r="O815" i="45"/>
  <c r="P815" i="45"/>
  <c r="Q815" i="45"/>
  <c r="A816" i="45"/>
  <c r="B816" i="45"/>
  <c r="N816" i="45"/>
  <c r="O816" i="45"/>
  <c r="P816" i="45"/>
  <c r="Q816" i="45"/>
  <c r="A817" i="45"/>
  <c r="B817" i="45"/>
  <c r="N817" i="45"/>
  <c r="O817" i="45"/>
  <c r="P817" i="45"/>
  <c r="Q817" i="45"/>
  <c r="A818" i="45"/>
  <c r="B818" i="45"/>
  <c r="N818" i="45"/>
  <c r="O818" i="45"/>
  <c r="P818" i="45"/>
  <c r="Q818" i="45"/>
  <c r="A819" i="45"/>
  <c r="B819" i="45"/>
  <c r="N819" i="45"/>
  <c r="O819" i="45"/>
  <c r="P819" i="45"/>
  <c r="Q819" i="45"/>
  <c r="A820" i="45"/>
  <c r="B820" i="45"/>
  <c r="N820" i="45"/>
  <c r="O820" i="45"/>
  <c r="P820" i="45"/>
  <c r="Q820" i="45"/>
  <c r="A821" i="45"/>
  <c r="B821" i="45"/>
  <c r="N821" i="45"/>
  <c r="O821" i="45"/>
  <c r="P821" i="45"/>
  <c r="Q821" i="45"/>
  <c r="A822" i="45"/>
  <c r="B822" i="45"/>
  <c r="N822" i="45"/>
  <c r="O822" i="45"/>
  <c r="P822" i="45"/>
  <c r="Q822" i="45"/>
  <c r="A823" i="45"/>
  <c r="B823" i="45"/>
  <c r="N823" i="45"/>
  <c r="O823" i="45"/>
  <c r="P823" i="45"/>
  <c r="Q823" i="45"/>
  <c r="A824" i="45"/>
  <c r="B824" i="45"/>
  <c r="N824" i="45"/>
  <c r="O824" i="45"/>
  <c r="P824" i="45"/>
  <c r="Q824" i="45"/>
  <c r="A825" i="45"/>
  <c r="B825" i="45"/>
  <c r="N825" i="45"/>
  <c r="O825" i="45"/>
  <c r="P825" i="45"/>
  <c r="Q825" i="45"/>
  <c r="A826" i="45"/>
  <c r="B826" i="45"/>
  <c r="N826" i="45"/>
  <c r="O826" i="45"/>
  <c r="P826" i="45"/>
  <c r="Q826" i="45"/>
  <c r="A827" i="45"/>
  <c r="B827" i="45"/>
  <c r="N827" i="45"/>
  <c r="O827" i="45"/>
  <c r="P827" i="45"/>
  <c r="Q827" i="45"/>
  <c r="A828" i="45"/>
  <c r="B828" i="45"/>
  <c r="N828" i="45"/>
  <c r="O828" i="45"/>
  <c r="P828" i="45"/>
  <c r="Q828" i="45"/>
  <c r="A829" i="45"/>
  <c r="B829" i="45"/>
  <c r="N829" i="45"/>
  <c r="O829" i="45"/>
  <c r="P829" i="45"/>
  <c r="Q829" i="45"/>
  <c r="A830" i="45"/>
  <c r="B830" i="45"/>
  <c r="N830" i="45"/>
  <c r="O830" i="45"/>
  <c r="P830" i="45"/>
  <c r="Q830" i="45"/>
  <c r="A831" i="45"/>
  <c r="B831" i="45"/>
  <c r="N831" i="45"/>
  <c r="O831" i="45"/>
  <c r="P831" i="45"/>
  <c r="Q831" i="45"/>
  <c r="A832" i="45"/>
  <c r="B832" i="45"/>
  <c r="N832" i="45"/>
  <c r="O832" i="45"/>
  <c r="P832" i="45"/>
  <c r="Q832" i="45"/>
  <c r="A833" i="45"/>
  <c r="B833" i="45"/>
  <c r="N833" i="45"/>
  <c r="O833" i="45"/>
  <c r="P833" i="45"/>
  <c r="Q833" i="45"/>
  <c r="A834" i="45"/>
  <c r="B834" i="45"/>
  <c r="N834" i="45"/>
  <c r="O834" i="45"/>
  <c r="P834" i="45"/>
  <c r="Q834" i="45"/>
  <c r="A835" i="45"/>
  <c r="B835" i="45"/>
  <c r="N835" i="45"/>
  <c r="O835" i="45"/>
  <c r="P835" i="45"/>
  <c r="Q835" i="45"/>
  <c r="A836" i="45"/>
  <c r="B836" i="45"/>
  <c r="N836" i="45"/>
  <c r="O836" i="45"/>
  <c r="P836" i="45"/>
  <c r="Q836" i="45"/>
  <c r="A837" i="45"/>
  <c r="B837" i="45"/>
  <c r="N837" i="45"/>
  <c r="O837" i="45"/>
  <c r="P837" i="45"/>
  <c r="Q837" i="45"/>
  <c r="A838" i="45"/>
  <c r="B838" i="45"/>
  <c r="N838" i="45"/>
  <c r="O838" i="45"/>
  <c r="P838" i="45"/>
  <c r="Q838" i="45"/>
  <c r="A839" i="45"/>
  <c r="B839" i="45"/>
  <c r="N839" i="45"/>
  <c r="O839" i="45"/>
  <c r="P839" i="45"/>
  <c r="Q839" i="45"/>
  <c r="A840" i="45"/>
  <c r="B840" i="45"/>
  <c r="N840" i="45"/>
  <c r="O840" i="45"/>
  <c r="P840" i="45"/>
  <c r="Q840" i="45"/>
  <c r="A841" i="45"/>
  <c r="B841" i="45"/>
  <c r="N841" i="45"/>
  <c r="O841" i="45"/>
  <c r="P841" i="45"/>
  <c r="Q841" i="45"/>
  <c r="A842" i="45"/>
  <c r="B842" i="45"/>
  <c r="N842" i="45"/>
  <c r="O842" i="45"/>
  <c r="P842" i="45"/>
  <c r="Q842" i="45"/>
  <c r="A843" i="45"/>
  <c r="B843" i="45"/>
  <c r="N843" i="45"/>
  <c r="O843" i="45"/>
  <c r="P843" i="45"/>
  <c r="Q843" i="45"/>
  <c r="A844" i="45"/>
  <c r="B844" i="45"/>
  <c r="N844" i="45"/>
  <c r="O844" i="45"/>
  <c r="P844" i="45"/>
  <c r="Q844" i="45"/>
  <c r="A845" i="45"/>
  <c r="B845" i="45"/>
  <c r="N845" i="45"/>
  <c r="O845" i="45"/>
  <c r="P845" i="45"/>
  <c r="Q845" i="45"/>
  <c r="A846" i="45"/>
  <c r="B846" i="45"/>
  <c r="N846" i="45"/>
  <c r="O846" i="45"/>
  <c r="P846" i="45"/>
  <c r="Q846" i="45"/>
  <c r="A847" i="45"/>
  <c r="B847" i="45"/>
  <c r="N847" i="45"/>
  <c r="O847" i="45"/>
  <c r="P847" i="45"/>
  <c r="Q847" i="45"/>
  <c r="A848" i="45"/>
  <c r="B848" i="45"/>
  <c r="N848" i="45"/>
  <c r="O848" i="45"/>
  <c r="P848" i="45"/>
  <c r="Q848" i="45"/>
  <c r="A849" i="45"/>
  <c r="B849" i="45"/>
  <c r="N849" i="45"/>
  <c r="O849" i="45"/>
  <c r="P849" i="45"/>
  <c r="Q849" i="45"/>
  <c r="A850" i="45"/>
  <c r="B850" i="45"/>
  <c r="N850" i="45"/>
  <c r="O850" i="45"/>
  <c r="P850" i="45"/>
  <c r="Q850" i="45"/>
  <c r="A851" i="45"/>
  <c r="B851" i="45"/>
  <c r="N851" i="45"/>
  <c r="O851" i="45"/>
  <c r="P851" i="45"/>
  <c r="Q851" i="45"/>
  <c r="A852" i="45"/>
  <c r="B852" i="45"/>
  <c r="N852" i="45"/>
  <c r="O852" i="45"/>
  <c r="P852" i="45"/>
  <c r="Q852" i="45"/>
  <c r="A853" i="45"/>
  <c r="B853" i="45"/>
  <c r="N853" i="45"/>
  <c r="O853" i="45"/>
  <c r="P853" i="45"/>
  <c r="Q853" i="45"/>
  <c r="A854" i="45"/>
  <c r="B854" i="45"/>
  <c r="N854" i="45"/>
  <c r="O854" i="45"/>
  <c r="P854" i="45"/>
  <c r="Q854" i="45"/>
  <c r="A855" i="45"/>
  <c r="B855" i="45"/>
  <c r="N855" i="45"/>
  <c r="O855" i="45"/>
  <c r="P855" i="45"/>
  <c r="Q855" i="45"/>
  <c r="A856" i="45"/>
  <c r="B856" i="45"/>
  <c r="N856" i="45"/>
  <c r="O856" i="45"/>
  <c r="P856" i="45"/>
  <c r="Q856" i="45"/>
  <c r="A857" i="45"/>
  <c r="B857" i="45"/>
  <c r="N857" i="45"/>
  <c r="O857" i="45"/>
  <c r="P857" i="45"/>
  <c r="Q857" i="45"/>
  <c r="A858" i="45"/>
  <c r="B858" i="45"/>
  <c r="N858" i="45"/>
  <c r="O858" i="45"/>
  <c r="P858" i="45"/>
  <c r="Q858" i="45"/>
  <c r="A859" i="45"/>
  <c r="B859" i="45"/>
  <c r="N859" i="45"/>
  <c r="O859" i="45"/>
  <c r="P859" i="45"/>
  <c r="Q859" i="45"/>
  <c r="A860" i="45"/>
  <c r="B860" i="45"/>
  <c r="N860" i="45"/>
  <c r="O860" i="45"/>
  <c r="P860" i="45"/>
  <c r="Q860" i="45"/>
  <c r="A861" i="45"/>
  <c r="B861" i="45"/>
  <c r="N861" i="45"/>
  <c r="O861" i="45"/>
  <c r="P861" i="45"/>
  <c r="Q861" i="45"/>
  <c r="A862" i="45"/>
  <c r="B862" i="45"/>
  <c r="N862" i="45"/>
  <c r="O862" i="45"/>
  <c r="P862" i="45"/>
  <c r="Q862" i="45"/>
  <c r="A863" i="45"/>
  <c r="B863" i="45"/>
  <c r="N863" i="45"/>
  <c r="O863" i="45"/>
  <c r="P863" i="45"/>
  <c r="Q863" i="45"/>
  <c r="A864" i="45"/>
  <c r="B864" i="45"/>
  <c r="N864" i="45"/>
  <c r="O864" i="45"/>
  <c r="P864" i="45"/>
  <c r="Q864" i="45"/>
  <c r="A865" i="45"/>
  <c r="B865" i="45"/>
  <c r="N865" i="45"/>
  <c r="O865" i="45"/>
  <c r="P865" i="45"/>
  <c r="Q865" i="45"/>
  <c r="A866" i="45"/>
  <c r="B866" i="45"/>
  <c r="N866" i="45"/>
  <c r="O866" i="45"/>
  <c r="P866" i="45"/>
  <c r="Q866" i="45"/>
  <c r="A867" i="45"/>
  <c r="B867" i="45"/>
  <c r="N867" i="45"/>
  <c r="O867" i="45"/>
  <c r="P867" i="45"/>
  <c r="Q867" i="45"/>
  <c r="A868" i="45"/>
  <c r="B868" i="45"/>
  <c r="N868" i="45"/>
  <c r="O868" i="45"/>
  <c r="P868" i="45"/>
  <c r="Q868" i="45"/>
  <c r="A869" i="45"/>
  <c r="B869" i="45"/>
  <c r="N869" i="45"/>
  <c r="O869" i="45"/>
  <c r="P869" i="45"/>
  <c r="Q869" i="45"/>
  <c r="A870" i="45"/>
  <c r="B870" i="45"/>
  <c r="N870" i="45"/>
  <c r="O870" i="45"/>
  <c r="P870" i="45"/>
  <c r="Q870" i="45"/>
  <c r="A871" i="45"/>
  <c r="B871" i="45"/>
  <c r="N871" i="45"/>
  <c r="O871" i="45"/>
  <c r="P871" i="45"/>
  <c r="Q871" i="45"/>
  <c r="A872" i="45"/>
  <c r="B872" i="45"/>
  <c r="N872" i="45"/>
  <c r="O872" i="45"/>
  <c r="P872" i="45"/>
  <c r="Q872" i="45"/>
  <c r="A873" i="45"/>
  <c r="B873" i="45"/>
  <c r="N873" i="45"/>
  <c r="O873" i="45"/>
  <c r="P873" i="45"/>
  <c r="Q873" i="45"/>
  <c r="A874" i="45"/>
  <c r="B874" i="45"/>
  <c r="N874" i="45"/>
  <c r="O874" i="45"/>
  <c r="P874" i="45"/>
  <c r="Q874" i="45"/>
  <c r="A875" i="45"/>
  <c r="B875" i="45"/>
  <c r="N875" i="45"/>
  <c r="O875" i="45"/>
  <c r="P875" i="45"/>
  <c r="Q875" i="45"/>
  <c r="A876" i="45"/>
  <c r="B876" i="45"/>
  <c r="N876" i="45"/>
  <c r="O876" i="45"/>
  <c r="P876" i="45"/>
  <c r="Q876" i="45"/>
  <c r="A877" i="45"/>
  <c r="B877" i="45"/>
  <c r="N877" i="45"/>
  <c r="O877" i="45"/>
  <c r="P877" i="45"/>
  <c r="Q877" i="45"/>
  <c r="A878" i="45"/>
  <c r="B878" i="45"/>
  <c r="N878" i="45"/>
  <c r="O878" i="45"/>
  <c r="P878" i="45"/>
  <c r="Q878" i="45"/>
  <c r="A879" i="45"/>
  <c r="B879" i="45"/>
  <c r="N879" i="45"/>
  <c r="O879" i="45"/>
  <c r="P879" i="45"/>
  <c r="Q879" i="45"/>
  <c r="A880" i="45"/>
  <c r="B880" i="45"/>
  <c r="N880" i="45"/>
  <c r="O880" i="45"/>
  <c r="P880" i="45"/>
  <c r="Q880" i="45"/>
  <c r="A881" i="45"/>
  <c r="B881" i="45"/>
  <c r="N881" i="45"/>
  <c r="O881" i="45"/>
  <c r="P881" i="45"/>
  <c r="Q881" i="45"/>
  <c r="A882" i="45"/>
  <c r="B882" i="45"/>
  <c r="N882" i="45"/>
  <c r="O882" i="45"/>
  <c r="P882" i="45"/>
  <c r="Q882" i="45"/>
  <c r="A883" i="45"/>
  <c r="B883" i="45"/>
  <c r="N883" i="45"/>
  <c r="O883" i="45"/>
  <c r="P883" i="45"/>
  <c r="Q883" i="45"/>
  <c r="A884" i="45"/>
  <c r="B884" i="45"/>
  <c r="N884" i="45"/>
  <c r="O884" i="45"/>
  <c r="P884" i="45"/>
  <c r="Q884" i="45"/>
  <c r="A885" i="45"/>
  <c r="B885" i="45"/>
  <c r="N885" i="45"/>
  <c r="O885" i="45"/>
  <c r="P885" i="45"/>
  <c r="Q885" i="45"/>
  <c r="A886" i="45"/>
  <c r="B886" i="45"/>
  <c r="N886" i="45"/>
  <c r="O886" i="45"/>
  <c r="P886" i="45"/>
  <c r="Q886" i="45"/>
  <c r="A887" i="45"/>
  <c r="B887" i="45"/>
  <c r="N887" i="45"/>
  <c r="O887" i="45"/>
  <c r="P887" i="45"/>
  <c r="Q887" i="45"/>
  <c r="A888" i="45"/>
  <c r="B888" i="45"/>
  <c r="N888" i="45"/>
  <c r="O888" i="45"/>
  <c r="P888" i="45"/>
  <c r="Q888" i="45"/>
  <c r="A889" i="45"/>
  <c r="B889" i="45"/>
  <c r="N889" i="45"/>
  <c r="O889" i="45"/>
  <c r="P889" i="45"/>
  <c r="Q889" i="45"/>
  <c r="A890" i="45"/>
  <c r="B890" i="45"/>
  <c r="N890" i="45"/>
  <c r="O890" i="45"/>
  <c r="P890" i="45"/>
  <c r="Q890" i="45"/>
  <c r="A891" i="45"/>
  <c r="B891" i="45"/>
  <c r="N891" i="45"/>
  <c r="O891" i="45"/>
  <c r="P891" i="45"/>
  <c r="Q891" i="45"/>
  <c r="A892" i="45"/>
  <c r="B892" i="45"/>
  <c r="N892" i="45"/>
  <c r="O892" i="45"/>
  <c r="P892" i="45"/>
  <c r="Q892" i="45"/>
  <c r="A893" i="45"/>
  <c r="B893" i="45"/>
  <c r="N893" i="45"/>
  <c r="O893" i="45"/>
  <c r="P893" i="45"/>
  <c r="Q893" i="45"/>
  <c r="A894" i="45"/>
  <c r="B894" i="45"/>
  <c r="N894" i="45"/>
  <c r="O894" i="45"/>
  <c r="P894" i="45"/>
  <c r="Q894" i="45"/>
  <c r="A895" i="45"/>
  <c r="B895" i="45"/>
  <c r="N895" i="45"/>
  <c r="O895" i="45"/>
  <c r="P895" i="45"/>
  <c r="Q895" i="45"/>
  <c r="A896" i="45"/>
  <c r="B896" i="45"/>
  <c r="N896" i="45"/>
  <c r="O896" i="45"/>
  <c r="P896" i="45"/>
  <c r="Q896" i="45"/>
  <c r="A897" i="45"/>
  <c r="B897" i="45"/>
  <c r="N897" i="45"/>
  <c r="O897" i="45"/>
  <c r="P897" i="45"/>
  <c r="Q897" i="45"/>
  <c r="A898" i="45"/>
  <c r="B898" i="45"/>
  <c r="N898" i="45"/>
  <c r="O898" i="45"/>
  <c r="P898" i="45"/>
  <c r="Q898" i="45"/>
  <c r="A899" i="45"/>
  <c r="B899" i="45"/>
  <c r="N899" i="45"/>
  <c r="O899" i="45"/>
  <c r="P899" i="45"/>
  <c r="Q899" i="45"/>
  <c r="A900" i="45"/>
  <c r="B900" i="45"/>
  <c r="N900" i="45"/>
  <c r="O900" i="45"/>
  <c r="P900" i="45"/>
  <c r="Q900" i="45"/>
  <c r="A901" i="45"/>
  <c r="B901" i="45"/>
  <c r="N901" i="45"/>
  <c r="O901" i="45"/>
  <c r="P901" i="45"/>
  <c r="Q901" i="45"/>
  <c r="A902" i="45"/>
  <c r="B902" i="45"/>
  <c r="N902" i="45"/>
  <c r="O902" i="45"/>
  <c r="P902" i="45"/>
  <c r="Q902" i="45"/>
  <c r="A903" i="45"/>
  <c r="B903" i="45"/>
  <c r="N903" i="45"/>
  <c r="O903" i="45"/>
  <c r="P903" i="45"/>
  <c r="Q903" i="45"/>
  <c r="A904" i="45"/>
  <c r="B904" i="45"/>
  <c r="N904" i="45"/>
  <c r="O904" i="45"/>
  <c r="P904" i="45"/>
  <c r="Q904" i="45"/>
  <c r="A905" i="45"/>
  <c r="B905" i="45"/>
  <c r="N905" i="45"/>
  <c r="O905" i="45"/>
  <c r="P905" i="45"/>
  <c r="Q905" i="45"/>
  <c r="A906" i="45"/>
  <c r="B906" i="45"/>
  <c r="N906" i="45"/>
  <c r="O906" i="45"/>
  <c r="P906" i="45"/>
  <c r="Q906" i="45"/>
  <c r="A907" i="45"/>
  <c r="B907" i="45"/>
  <c r="N907" i="45"/>
  <c r="O907" i="45"/>
  <c r="P907" i="45"/>
  <c r="Q907" i="45"/>
  <c r="A908" i="45"/>
  <c r="B908" i="45"/>
  <c r="N908" i="45"/>
  <c r="O908" i="45"/>
  <c r="P908" i="45"/>
  <c r="Q908" i="45"/>
  <c r="A909" i="45"/>
  <c r="B909" i="45"/>
  <c r="N909" i="45"/>
  <c r="O909" i="45"/>
  <c r="P909" i="45"/>
  <c r="Q909" i="45"/>
  <c r="A910" i="45"/>
  <c r="B910" i="45"/>
  <c r="N910" i="45"/>
  <c r="O910" i="45"/>
  <c r="P910" i="45"/>
  <c r="Q910" i="45"/>
  <c r="A911" i="45"/>
  <c r="B911" i="45"/>
  <c r="N911" i="45"/>
  <c r="O911" i="45"/>
  <c r="P911" i="45"/>
  <c r="Q911" i="45"/>
  <c r="A912" i="45"/>
  <c r="B912" i="45"/>
  <c r="N912" i="45"/>
  <c r="O912" i="45"/>
  <c r="P912" i="45"/>
  <c r="Q912" i="45"/>
  <c r="A913" i="45"/>
  <c r="B913" i="45"/>
  <c r="N913" i="45"/>
  <c r="O913" i="45"/>
  <c r="P913" i="45"/>
  <c r="Q913" i="45"/>
  <c r="A914" i="45"/>
  <c r="B914" i="45"/>
  <c r="N914" i="45"/>
  <c r="O914" i="45"/>
  <c r="P914" i="45"/>
  <c r="Q914" i="45"/>
  <c r="A915" i="45"/>
  <c r="B915" i="45"/>
  <c r="N915" i="45"/>
  <c r="O915" i="45"/>
  <c r="P915" i="45"/>
  <c r="Q915" i="45"/>
  <c r="A916" i="45"/>
  <c r="B916" i="45"/>
  <c r="N916" i="45"/>
  <c r="O916" i="45"/>
  <c r="P916" i="45"/>
  <c r="Q916" i="45"/>
  <c r="A917" i="45"/>
  <c r="B917" i="45"/>
  <c r="N917" i="45"/>
  <c r="O917" i="45"/>
  <c r="P917" i="45"/>
  <c r="Q917" i="45"/>
  <c r="A918" i="45"/>
  <c r="B918" i="45"/>
  <c r="N918" i="45"/>
  <c r="O918" i="45"/>
  <c r="P918" i="45"/>
  <c r="Q918" i="45"/>
  <c r="A919" i="45"/>
  <c r="B919" i="45"/>
  <c r="N919" i="45"/>
  <c r="O919" i="45"/>
  <c r="P919" i="45"/>
  <c r="Q919" i="45"/>
  <c r="A920" i="45"/>
  <c r="B920" i="45"/>
  <c r="N920" i="45"/>
  <c r="O920" i="45"/>
  <c r="P920" i="45"/>
  <c r="Q920" i="45"/>
  <c r="A921" i="45"/>
  <c r="B921" i="45"/>
  <c r="N921" i="45"/>
  <c r="O921" i="45"/>
  <c r="P921" i="45"/>
  <c r="Q921" i="45"/>
  <c r="A922" i="45"/>
  <c r="B922" i="45"/>
  <c r="N922" i="45"/>
  <c r="O922" i="45"/>
  <c r="P922" i="45"/>
  <c r="Q922" i="45"/>
  <c r="A923" i="45"/>
  <c r="B923" i="45"/>
  <c r="N923" i="45"/>
  <c r="O923" i="45"/>
  <c r="P923" i="45"/>
  <c r="Q923" i="45"/>
  <c r="A924" i="45"/>
  <c r="B924" i="45"/>
  <c r="N924" i="45"/>
  <c r="O924" i="45"/>
  <c r="P924" i="45"/>
  <c r="Q924" i="45"/>
  <c r="A925" i="45"/>
  <c r="B925" i="45"/>
  <c r="N925" i="45"/>
  <c r="O925" i="45"/>
  <c r="P925" i="45"/>
  <c r="Q925" i="45"/>
  <c r="A926" i="45"/>
  <c r="B926" i="45"/>
  <c r="N926" i="45"/>
  <c r="O926" i="45"/>
  <c r="P926" i="45"/>
  <c r="Q926" i="45"/>
  <c r="A927" i="45"/>
  <c r="B927" i="45"/>
  <c r="N927" i="45"/>
  <c r="O927" i="45"/>
  <c r="P927" i="45"/>
  <c r="Q927" i="45"/>
  <c r="A928" i="45"/>
  <c r="B928" i="45"/>
  <c r="N928" i="45"/>
  <c r="O928" i="45"/>
  <c r="P928" i="45"/>
  <c r="Q928" i="45"/>
  <c r="A929" i="45"/>
  <c r="B929" i="45"/>
  <c r="N929" i="45"/>
  <c r="O929" i="45"/>
  <c r="P929" i="45"/>
  <c r="Q929" i="45"/>
  <c r="A930" i="45"/>
  <c r="B930" i="45"/>
  <c r="N930" i="45"/>
  <c r="O930" i="45"/>
  <c r="P930" i="45"/>
  <c r="Q930" i="45"/>
  <c r="A931" i="45"/>
  <c r="B931" i="45"/>
  <c r="N931" i="45"/>
  <c r="O931" i="45"/>
  <c r="P931" i="45"/>
  <c r="Q931" i="45"/>
  <c r="A932" i="45"/>
  <c r="B932" i="45"/>
  <c r="N932" i="45"/>
  <c r="O932" i="45"/>
  <c r="P932" i="45"/>
  <c r="Q932" i="45"/>
  <c r="A933" i="45"/>
  <c r="B933" i="45"/>
  <c r="N933" i="45"/>
  <c r="O933" i="45"/>
  <c r="P933" i="45"/>
  <c r="Q933" i="45"/>
  <c r="A934" i="45"/>
  <c r="B934" i="45"/>
  <c r="N934" i="45"/>
  <c r="O934" i="45"/>
  <c r="P934" i="45"/>
  <c r="Q934" i="45"/>
  <c r="A935" i="45"/>
  <c r="B935" i="45"/>
  <c r="N935" i="45"/>
  <c r="O935" i="45"/>
  <c r="P935" i="45"/>
  <c r="Q935" i="45"/>
  <c r="A936" i="45"/>
  <c r="B936" i="45"/>
  <c r="N936" i="45"/>
  <c r="O936" i="45"/>
  <c r="P936" i="45"/>
  <c r="Q936" i="45"/>
  <c r="A937" i="45"/>
  <c r="B937" i="45"/>
  <c r="N937" i="45"/>
  <c r="O937" i="45"/>
  <c r="P937" i="45"/>
  <c r="Q937" i="45"/>
  <c r="A938" i="45"/>
  <c r="B938" i="45"/>
  <c r="N938" i="45"/>
  <c r="O938" i="45"/>
  <c r="P938" i="45"/>
  <c r="Q938" i="45"/>
  <c r="A939" i="45"/>
  <c r="B939" i="45"/>
  <c r="N939" i="45"/>
  <c r="O939" i="45"/>
  <c r="P939" i="45"/>
  <c r="Q939" i="45"/>
  <c r="A940" i="45"/>
  <c r="B940" i="45"/>
  <c r="N940" i="45"/>
  <c r="O940" i="45"/>
  <c r="P940" i="45"/>
  <c r="Q940" i="45"/>
  <c r="A941" i="45"/>
  <c r="B941" i="45"/>
  <c r="N941" i="45"/>
  <c r="O941" i="45"/>
  <c r="P941" i="45"/>
  <c r="Q941" i="45"/>
  <c r="A942" i="45"/>
  <c r="B942" i="45"/>
  <c r="N942" i="45"/>
  <c r="O942" i="45"/>
  <c r="P942" i="45"/>
  <c r="Q942" i="45"/>
  <c r="A943" i="45"/>
  <c r="B943" i="45"/>
  <c r="N943" i="45"/>
  <c r="O943" i="45"/>
  <c r="P943" i="45"/>
  <c r="Q943" i="45"/>
  <c r="A944" i="45"/>
  <c r="B944" i="45"/>
  <c r="N944" i="45"/>
  <c r="O944" i="45"/>
  <c r="P944" i="45"/>
  <c r="Q944" i="45"/>
  <c r="A945" i="45"/>
  <c r="B945" i="45"/>
  <c r="N945" i="45"/>
  <c r="O945" i="45"/>
  <c r="P945" i="45"/>
  <c r="Q945" i="45"/>
  <c r="A946" i="45"/>
  <c r="B946" i="45"/>
  <c r="N946" i="45"/>
  <c r="O946" i="45"/>
  <c r="P946" i="45"/>
  <c r="Q946" i="45"/>
  <c r="A947" i="45"/>
  <c r="B947" i="45"/>
  <c r="N947" i="45"/>
  <c r="O947" i="45"/>
  <c r="P947" i="45"/>
  <c r="Q947" i="45"/>
  <c r="A948" i="45"/>
  <c r="B948" i="45"/>
  <c r="N948" i="45"/>
  <c r="O948" i="45"/>
  <c r="P948" i="45"/>
  <c r="Q948" i="45"/>
  <c r="A949" i="45"/>
  <c r="B949" i="45"/>
  <c r="N949" i="45"/>
  <c r="O949" i="45"/>
  <c r="P949" i="45"/>
  <c r="Q949" i="45"/>
  <c r="A950" i="45"/>
  <c r="B950" i="45"/>
  <c r="N950" i="45"/>
  <c r="O950" i="45"/>
  <c r="P950" i="45"/>
  <c r="Q950" i="45"/>
  <c r="A951" i="45"/>
  <c r="B951" i="45"/>
  <c r="N951" i="45"/>
  <c r="O951" i="45"/>
  <c r="P951" i="45"/>
  <c r="Q951" i="45"/>
  <c r="A952" i="45"/>
  <c r="B952" i="45"/>
  <c r="N952" i="45"/>
  <c r="O952" i="45"/>
  <c r="P952" i="45"/>
  <c r="Q952" i="45"/>
  <c r="A953" i="45"/>
  <c r="B953" i="45"/>
  <c r="N953" i="45"/>
  <c r="O953" i="45"/>
  <c r="P953" i="45"/>
  <c r="Q953" i="45"/>
  <c r="A954" i="45"/>
  <c r="B954" i="45"/>
  <c r="N954" i="45"/>
  <c r="O954" i="45"/>
  <c r="P954" i="45"/>
  <c r="Q954" i="45"/>
  <c r="A955" i="45"/>
  <c r="B955" i="45"/>
  <c r="N955" i="45"/>
  <c r="O955" i="45"/>
  <c r="P955" i="45"/>
  <c r="Q955" i="45"/>
  <c r="A956" i="45"/>
  <c r="B956" i="45"/>
  <c r="N956" i="45"/>
  <c r="O956" i="45"/>
  <c r="P956" i="45"/>
  <c r="Q956" i="45"/>
  <c r="A957" i="45"/>
  <c r="B957" i="45"/>
  <c r="N957" i="45"/>
  <c r="O957" i="45"/>
  <c r="P957" i="45"/>
  <c r="Q957" i="45"/>
  <c r="A958" i="45"/>
  <c r="B958" i="45"/>
  <c r="N958" i="45"/>
  <c r="O958" i="45"/>
  <c r="P958" i="45"/>
  <c r="Q958" i="45"/>
  <c r="A959" i="45"/>
  <c r="B959" i="45"/>
  <c r="N959" i="45"/>
  <c r="O959" i="45"/>
  <c r="P959" i="45"/>
  <c r="Q959" i="45"/>
  <c r="A960" i="45"/>
  <c r="B960" i="45"/>
  <c r="N960" i="45"/>
  <c r="O960" i="45"/>
  <c r="P960" i="45"/>
  <c r="Q960" i="45"/>
  <c r="A961" i="45"/>
  <c r="B961" i="45"/>
  <c r="N961" i="45"/>
  <c r="O961" i="45"/>
  <c r="P961" i="45"/>
  <c r="Q961" i="45"/>
  <c r="A962" i="45"/>
  <c r="B962" i="45"/>
  <c r="N962" i="45"/>
  <c r="O962" i="45"/>
  <c r="P962" i="45"/>
  <c r="Q962" i="45"/>
  <c r="A963" i="45"/>
  <c r="B963" i="45"/>
  <c r="N963" i="45"/>
  <c r="O963" i="45"/>
  <c r="P963" i="45"/>
  <c r="Q963" i="45"/>
  <c r="A964" i="45"/>
  <c r="B964" i="45"/>
  <c r="N964" i="45"/>
  <c r="O964" i="45"/>
  <c r="P964" i="45"/>
  <c r="Q964" i="45"/>
  <c r="A965" i="45"/>
  <c r="B965" i="45"/>
  <c r="N965" i="45"/>
  <c r="O965" i="45"/>
  <c r="P965" i="45"/>
  <c r="Q965" i="45"/>
  <c r="A966" i="45"/>
  <c r="B966" i="45"/>
  <c r="N966" i="45"/>
  <c r="O966" i="45"/>
  <c r="P966" i="45"/>
  <c r="Q966" i="45"/>
  <c r="A967" i="45"/>
  <c r="B967" i="45"/>
  <c r="N967" i="45"/>
  <c r="O967" i="45"/>
  <c r="P967" i="45"/>
  <c r="Q967" i="45"/>
  <c r="A968" i="45"/>
  <c r="B968" i="45"/>
  <c r="N968" i="45"/>
  <c r="O968" i="45"/>
  <c r="P968" i="45"/>
  <c r="Q968" i="45"/>
  <c r="A969" i="45"/>
  <c r="B969" i="45"/>
  <c r="N969" i="45"/>
  <c r="O969" i="45"/>
  <c r="P969" i="45"/>
  <c r="Q969" i="45"/>
  <c r="A970" i="45"/>
  <c r="B970" i="45"/>
  <c r="N970" i="45"/>
  <c r="O970" i="45"/>
  <c r="P970" i="45"/>
  <c r="Q970" i="45"/>
  <c r="A971" i="45"/>
  <c r="B971" i="45"/>
  <c r="N971" i="45"/>
  <c r="O971" i="45"/>
  <c r="P971" i="45"/>
  <c r="Q971" i="45"/>
  <c r="A972" i="45"/>
  <c r="B972" i="45"/>
  <c r="N972" i="45"/>
  <c r="O972" i="45"/>
  <c r="P972" i="45"/>
  <c r="Q972" i="45"/>
  <c r="A973" i="45"/>
  <c r="B973" i="45"/>
  <c r="N973" i="45"/>
  <c r="O973" i="45"/>
  <c r="P973" i="45"/>
  <c r="Q973" i="45"/>
  <c r="A974" i="45"/>
  <c r="B974" i="45"/>
  <c r="N974" i="45"/>
  <c r="O974" i="45"/>
  <c r="P974" i="45"/>
  <c r="Q974" i="45"/>
  <c r="A975" i="45"/>
  <c r="B975" i="45"/>
  <c r="N975" i="45"/>
  <c r="O975" i="45"/>
  <c r="P975" i="45"/>
  <c r="Q975" i="45"/>
  <c r="A976" i="45"/>
  <c r="B976" i="45"/>
  <c r="N976" i="45"/>
  <c r="O976" i="45"/>
  <c r="P976" i="45"/>
  <c r="Q976" i="45"/>
  <c r="A977" i="45"/>
  <c r="B977" i="45"/>
  <c r="N977" i="45"/>
  <c r="O977" i="45"/>
  <c r="P977" i="45"/>
  <c r="Q977" i="45"/>
  <c r="A978" i="45"/>
  <c r="B978" i="45"/>
  <c r="N978" i="45"/>
  <c r="O978" i="45"/>
  <c r="P978" i="45"/>
  <c r="Q978" i="45"/>
  <c r="A979" i="45"/>
  <c r="B979" i="45"/>
  <c r="N979" i="45"/>
  <c r="O979" i="45"/>
  <c r="P979" i="45"/>
  <c r="Q979" i="45"/>
  <c r="A980" i="45"/>
  <c r="B980" i="45"/>
  <c r="N980" i="45"/>
  <c r="O980" i="45"/>
  <c r="P980" i="45"/>
  <c r="Q980" i="45"/>
  <c r="A981" i="45"/>
  <c r="B981" i="45"/>
  <c r="N981" i="45"/>
  <c r="O981" i="45"/>
  <c r="P981" i="45"/>
  <c r="Q981" i="45"/>
  <c r="A982" i="45"/>
  <c r="B982" i="45"/>
  <c r="N982" i="45"/>
  <c r="O982" i="45"/>
  <c r="P982" i="45"/>
  <c r="Q982" i="45"/>
  <c r="A983" i="45"/>
  <c r="B983" i="45"/>
  <c r="N983" i="45"/>
  <c r="O983" i="45"/>
  <c r="P983" i="45"/>
  <c r="Q983" i="45"/>
  <c r="A984" i="45"/>
  <c r="B984" i="45"/>
  <c r="N984" i="45"/>
  <c r="O984" i="45"/>
  <c r="P984" i="45"/>
  <c r="Q984" i="45"/>
  <c r="A985" i="45"/>
  <c r="B985" i="45"/>
  <c r="N985" i="45"/>
  <c r="O985" i="45"/>
  <c r="P985" i="45"/>
  <c r="Q985" i="45"/>
  <c r="A986" i="45"/>
  <c r="B986" i="45"/>
  <c r="N986" i="45"/>
  <c r="O986" i="45"/>
  <c r="P986" i="45"/>
  <c r="Q986" i="45"/>
  <c r="A987" i="45"/>
  <c r="B987" i="45"/>
  <c r="N987" i="45"/>
  <c r="O987" i="45"/>
  <c r="P987" i="45"/>
  <c r="Q987" i="45"/>
  <c r="A988" i="45"/>
  <c r="B988" i="45"/>
  <c r="N988" i="45"/>
  <c r="O988" i="45"/>
  <c r="P988" i="45"/>
  <c r="Q988" i="45"/>
  <c r="A989" i="45"/>
  <c r="B989" i="45"/>
  <c r="N989" i="45"/>
  <c r="O989" i="45"/>
  <c r="P989" i="45"/>
  <c r="Q989" i="45"/>
  <c r="A990" i="45"/>
  <c r="B990" i="45"/>
  <c r="N990" i="45"/>
  <c r="O990" i="45"/>
  <c r="P990" i="45"/>
  <c r="Q990" i="45"/>
  <c r="A991" i="45"/>
  <c r="B991" i="45"/>
  <c r="N991" i="45"/>
  <c r="O991" i="45"/>
  <c r="P991" i="45"/>
  <c r="Q991" i="45"/>
  <c r="A992" i="45"/>
  <c r="B992" i="45"/>
  <c r="N992" i="45"/>
  <c r="O992" i="45"/>
  <c r="P992" i="45"/>
  <c r="Q992" i="45"/>
  <c r="A993" i="45"/>
  <c r="B993" i="45"/>
  <c r="N993" i="45"/>
  <c r="O993" i="45"/>
  <c r="P993" i="45"/>
  <c r="Q993" i="45"/>
  <c r="A994" i="45"/>
  <c r="B994" i="45"/>
  <c r="N994" i="45"/>
  <c r="O994" i="45"/>
  <c r="P994" i="45"/>
  <c r="Q994" i="45"/>
  <c r="A995" i="45"/>
  <c r="B995" i="45"/>
  <c r="N995" i="45"/>
  <c r="O995" i="45"/>
  <c r="P995" i="45"/>
  <c r="Q995" i="45"/>
  <c r="A996" i="45"/>
  <c r="B996" i="45"/>
  <c r="N996" i="45"/>
  <c r="O996" i="45"/>
  <c r="P996" i="45"/>
  <c r="Q996" i="45"/>
  <c r="A997" i="45"/>
  <c r="B997" i="45"/>
  <c r="N997" i="45"/>
  <c r="O997" i="45"/>
  <c r="P997" i="45"/>
  <c r="Q997" i="45"/>
  <c r="A998" i="45"/>
  <c r="B998" i="45"/>
  <c r="N998" i="45"/>
  <c r="O998" i="45"/>
  <c r="P998" i="45"/>
  <c r="Q998" i="45"/>
  <c r="A999" i="45"/>
  <c r="B999" i="45"/>
  <c r="N999" i="45"/>
  <c r="O999" i="45"/>
  <c r="P999" i="45"/>
  <c r="Q999" i="45"/>
  <c r="A1000" i="45"/>
  <c r="B1000" i="45"/>
  <c r="N1000" i="45"/>
  <c r="O1000" i="45"/>
  <c r="P1000" i="45"/>
  <c r="Q1000" i="45"/>
  <c r="A1001" i="45"/>
  <c r="B1001" i="45"/>
  <c r="N1001" i="45"/>
  <c r="O1001" i="45"/>
  <c r="P1001" i="45"/>
  <c r="Q1001" i="45"/>
  <c r="A1002" i="45"/>
  <c r="B1002" i="45"/>
  <c r="N1002" i="45"/>
  <c r="O1002" i="45"/>
  <c r="P1002" i="45"/>
  <c r="Q1002" i="45"/>
  <c r="A1003" i="45"/>
  <c r="B1003" i="45"/>
  <c r="N1003" i="45"/>
  <c r="O1003" i="45"/>
  <c r="P1003" i="45"/>
  <c r="Q1003" i="45"/>
  <c r="A1004" i="45"/>
  <c r="B1004" i="45"/>
  <c r="N1004" i="45"/>
  <c r="O1004" i="45"/>
  <c r="P1004" i="45"/>
  <c r="Q1004" i="45"/>
  <c r="A1005" i="45"/>
  <c r="B1005" i="45"/>
  <c r="N1005" i="45"/>
  <c r="O1005" i="45"/>
  <c r="P1005" i="45"/>
  <c r="Q1005" i="45"/>
  <c r="A1006" i="45"/>
  <c r="B1006" i="45"/>
  <c r="N1006" i="45"/>
  <c r="O1006" i="45"/>
  <c r="P1006" i="45"/>
  <c r="Q1006" i="45"/>
  <c r="A1007" i="45"/>
  <c r="B1007" i="45"/>
  <c r="N1007" i="45"/>
  <c r="O1007" i="45"/>
  <c r="P1007" i="45"/>
  <c r="Q1007" i="45"/>
  <c r="A1008" i="45"/>
  <c r="B1008" i="45"/>
  <c r="N1008" i="45"/>
  <c r="O1008" i="45"/>
  <c r="P1008" i="45"/>
  <c r="Q1008" i="45"/>
  <c r="A1009" i="45"/>
  <c r="B1009" i="45"/>
  <c r="N1009" i="45"/>
  <c r="O1009" i="45"/>
  <c r="P1009" i="45"/>
  <c r="Q1009" i="45"/>
  <c r="A1010" i="45"/>
  <c r="B1010" i="45"/>
  <c r="N1010" i="45"/>
  <c r="O1010" i="45"/>
  <c r="P1010" i="45"/>
  <c r="Q1010" i="45"/>
  <c r="A1011" i="45"/>
  <c r="B1011" i="45"/>
  <c r="N1011" i="45"/>
  <c r="O1011" i="45"/>
  <c r="P1011" i="45"/>
  <c r="Q1011" i="45"/>
  <c r="A1012" i="45"/>
  <c r="B1012" i="45"/>
  <c r="N1012" i="45"/>
  <c r="O1012" i="45"/>
  <c r="P1012" i="45"/>
  <c r="Q1012" i="45"/>
  <c r="A1013" i="45"/>
  <c r="B1013" i="45"/>
  <c r="N1013" i="45"/>
  <c r="O1013" i="45"/>
  <c r="P1013" i="45"/>
  <c r="Q1013" i="45"/>
  <c r="A1014" i="45"/>
  <c r="B1014" i="45"/>
  <c r="N1014" i="45"/>
  <c r="O1014" i="45"/>
  <c r="P1014" i="45"/>
  <c r="Q1014" i="45"/>
  <c r="A1015" i="45"/>
  <c r="B1015" i="45"/>
  <c r="N1015" i="45"/>
  <c r="O1015" i="45"/>
  <c r="P1015" i="45"/>
  <c r="Q1015" i="45"/>
  <c r="A1016" i="45"/>
  <c r="B1016" i="45"/>
  <c r="N1016" i="45"/>
  <c r="O1016" i="45"/>
  <c r="P1016" i="45"/>
  <c r="Q1016" i="45"/>
  <c r="A1017" i="45"/>
  <c r="B1017" i="45"/>
  <c r="N1017" i="45"/>
  <c r="O1017" i="45"/>
  <c r="P1017" i="45"/>
  <c r="Q1017" i="45"/>
  <c r="A1018" i="45"/>
  <c r="B1018" i="45"/>
  <c r="N1018" i="45"/>
  <c r="O1018" i="45"/>
  <c r="P1018" i="45"/>
  <c r="Q1018" i="45"/>
  <c r="A1019" i="45"/>
  <c r="B1019" i="45"/>
  <c r="N1019" i="45"/>
  <c r="O1019" i="45"/>
  <c r="P1019" i="45"/>
  <c r="Q1019" i="45"/>
  <c r="A1020" i="45"/>
  <c r="B1020" i="45"/>
  <c r="N1020" i="45"/>
  <c r="O1020" i="45"/>
  <c r="P1020" i="45"/>
  <c r="Q1020" i="45"/>
  <c r="A1021" i="45"/>
  <c r="B1021" i="45"/>
  <c r="N1021" i="45"/>
  <c r="O1021" i="45"/>
  <c r="P1021" i="45"/>
  <c r="Q1021" i="45"/>
  <c r="A1022" i="45"/>
  <c r="B1022" i="45"/>
  <c r="N1022" i="45"/>
  <c r="O1022" i="45"/>
  <c r="P1022" i="45"/>
  <c r="Q1022" i="45"/>
  <c r="A1023" i="45"/>
  <c r="B1023" i="45"/>
  <c r="N1023" i="45"/>
  <c r="O1023" i="45"/>
  <c r="P1023" i="45"/>
  <c r="Q1023" i="45"/>
  <c r="A1024" i="45"/>
  <c r="B1024" i="45"/>
  <c r="N1024" i="45"/>
  <c r="O1024" i="45"/>
  <c r="P1024" i="45"/>
  <c r="Q1024" i="45"/>
  <c r="A1025" i="45"/>
  <c r="B1025" i="45"/>
  <c r="N1025" i="45"/>
  <c r="O1025" i="45"/>
  <c r="P1025" i="45"/>
  <c r="Q1025" i="45"/>
  <c r="A1026" i="45"/>
  <c r="B1026" i="45"/>
  <c r="N1026" i="45"/>
  <c r="O1026" i="45"/>
  <c r="P1026" i="45"/>
  <c r="Q1026" i="45"/>
  <c r="A1027" i="45"/>
  <c r="B1027" i="45"/>
  <c r="N1027" i="45"/>
  <c r="O1027" i="45"/>
  <c r="P1027" i="45"/>
  <c r="Q1027" i="45"/>
  <c r="A1028" i="45"/>
  <c r="B1028" i="45"/>
  <c r="N1028" i="45"/>
  <c r="O1028" i="45"/>
  <c r="P1028" i="45"/>
  <c r="Q1028" i="45"/>
  <c r="A1029" i="45"/>
  <c r="B1029" i="45"/>
  <c r="N1029" i="45"/>
  <c r="O1029" i="45"/>
  <c r="P1029" i="45"/>
  <c r="Q1029" i="45"/>
  <c r="A1030" i="45"/>
  <c r="B1030" i="45"/>
  <c r="N1030" i="45"/>
  <c r="O1030" i="45"/>
  <c r="P1030" i="45"/>
  <c r="Q1030" i="45"/>
  <c r="A1031" i="45"/>
  <c r="B1031" i="45"/>
  <c r="N1031" i="45"/>
  <c r="O1031" i="45"/>
  <c r="P1031" i="45"/>
  <c r="Q1031" i="45"/>
  <c r="A1032" i="45"/>
  <c r="B1032" i="45"/>
  <c r="N1032" i="45"/>
  <c r="O1032" i="45"/>
  <c r="P1032" i="45"/>
  <c r="Q1032" i="45"/>
  <c r="A1033" i="45"/>
  <c r="B1033" i="45"/>
  <c r="N1033" i="45"/>
  <c r="O1033" i="45"/>
  <c r="P1033" i="45"/>
  <c r="Q1033" i="45"/>
  <c r="A1034" i="45"/>
  <c r="B1034" i="45"/>
  <c r="N1034" i="45"/>
  <c r="O1034" i="45"/>
  <c r="P1034" i="45"/>
  <c r="Q1034" i="45"/>
  <c r="A1035" i="45"/>
  <c r="B1035" i="45"/>
  <c r="N1035" i="45"/>
  <c r="O1035" i="45"/>
  <c r="P1035" i="45"/>
  <c r="Q1035" i="45"/>
  <c r="A1036" i="45"/>
  <c r="B1036" i="45"/>
  <c r="N1036" i="45"/>
  <c r="O1036" i="45"/>
  <c r="P1036" i="45"/>
  <c r="Q1036" i="45"/>
  <c r="A1037" i="45"/>
  <c r="B1037" i="45"/>
  <c r="N1037" i="45"/>
  <c r="O1037" i="45"/>
  <c r="P1037" i="45"/>
  <c r="Q1037" i="45"/>
  <c r="A1038" i="45"/>
  <c r="B1038" i="45"/>
  <c r="N1038" i="45"/>
  <c r="O1038" i="45"/>
  <c r="P1038" i="45"/>
  <c r="Q1038" i="45"/>
  <c r="A1039" i="45"/>
  <c r="B1039" i="45"/>
  <c r="N1039" i="45"/>
  <c r="O1039" i="45"/>
  <c r="P1039" i="45"/>
  <c r="Q1039" i="45"/>
  <c r="A1040" i="45"/>
  <c r="B1040" i="45"/>
  <c r="N1040" i="45"/>
  <c r="O1040" i="45"/>
  <c r="P1040" i="45"/>
  <c r="Q1040" i="45"/>
  <c r="A1041" i="45"/>
  <c r="B1041" i="45"/>
  <c r="N1041" i="45"/>
  <c r="O1041" i="45"/>
  <c r="P1041" i="45"/>
  <c r="Q1041" i="45"/>
  <c r="A1042" i="45"/>
  <c r="B1042" i="45"/>
  <c r="N1042" i="45"/>
  <c r="O1042" i="45"/>
  <c r="P1042" i="45"/>
  <c r="Q1042" i="45"/>
  <c r="A1043" i="45"/>
  <c r="B1043" i="45"/>
  <c r="N1043" i="45"/>
  <c r="O1043" i="45"/>
  <c r="P1043" i="45"/>
  <c r="Q1043" i="45"/>
  <c r="A1044" i="45"/>
  <c r="B1044" i="45"/>
  <c r="N1044" i="45"/>
  <c r="O1044" i="45"/>
  <c r="P1044" i="45"/>
  <c r="Q1044" i="45"/>
  <c r="A1045" i="45"/>
  <c r="B1045" i="45"/>
  <c r="N1045" i="45"/>
  <c r="O1045" i="45"/>
  <c r="P1045" i="45"/>
  <c r="Q1045" i="45"/>
  <c r="A1046" i="45"/>
  <c r="B1046" i="45"/>
  <c r="N1046" i="45"/>
  <c r="O1046" i="45"/>
  <c r="P1046" i="45"/>
  <c r="Q1046" i="45"/>
  <c r="A1047" i="45"/>
  <c r="B1047" i="45"/>
  <c r="N1047" i="45"/>
  <c r="O1047" i="45"/>
  <c r="P1047" i="45"/>
  <c r="Q1047" i="45"/>
  <c r="A1048" i="45"/>
  <c r="B1048" i="45"/>
  <c r="N1048" i="45"/>
  <c r="O1048" i="45"/>
  <c r="P1048" i="45"/>
  <c r="Q1048" i="45"/>
  <c r="A1049" i="45"/>
  <c r="B1049" i="45"/>
  <c r="N1049" i="45"/>
  <c r="O1049" i="45"/>
  <c r="P1049" i="45"/>
  <c r="Q1049" i="45"/>
  <c r="A1050" i="45"/>
  <c r="B1050" i="45"/>
  <c r="N1050" i="45"/>
  <c r="O1050" i="45"/>
  <c r="P1050" i="45"/>
  <c r="Q1050" i="45"/>
  <c r="A1051" i="45"/>
  <c r="B1051" i="45"/>
  <c r="N1051" i="45"/>
  <c r="O1051" i="45"/>
  <c r="P1051" i="45"/>
  <c r="Q1051" i="45"/>
  <c r="A1052" i="45"/>
  <c r="B1052" i="45"/>
  <c r="N1052" i="45"/>
  <c r="O1052" i="45"/>
  <c r="P1052" i="45"/>
  <c r="Q1052" i="45"/>
  <c r="A1053" i="45"/>
  <c r="B1053" i="45"/>
  <c r="N1053" i="45"/>
  <c r="O1053" i="45"/>
  <c r="P1053" i="45"/>
  <c r="Q1053" i="45"/>
  <c r="A1054" i="45"/>
  <c r="B1054" i="45"/>
  <c r="N1054" i="45"/>
  <c r="O1054" i="45"/>
  <c r="P1054" i="45"/>
  <c r="Q1054" i="45"/>
  <c r="A1055" i="45"/>
  <c r="B1055" i="45"/>
  <c r="N1055" i="45"/>
  <c r="O1055" i="45"/>
  <c r="P1055" i="45"/>
  <c r="Q1055" i="45"/>
  <c r="A1056" i="45"/>
  <c r="B1056" i="45"/>
  <c r="N1056" i="45"/>
  <c r="O1056" i="45"/>
  <c r="P1056" i="45"/>
  <c r="Q1056" i="45"/>
  <c r="A1057" i="45"/>
  <c r="B1057" i="45"/>
  <c r="N1057" i="45"/>
  <c r="O1057" i="45"/>
  <c r="P1057" i="45"/>
  <c r="Q1057" i="45"/>
  <c r="A1058" i="45"/>
  <c r="B1058" i="45"/>
  <c r="N1058" i="45"/>
  <c r="O1058" i="45"/>
  <c r="P1058" i="45"/>
  <c r="Q1058" i="45"/>
  <c r="A1059" i="45"/>
  <c r="B1059" i="45"/>
  <c r="N1059" i="45"/>
  <c r="O1059" i="45"/>
  <c r="P1059" i="45"/>
  <c r="Q1059" i="45"/>
  <c r="A1060" i="45"/>
  <c r="B1060" i="45"/>
  <c r="N1060" i="45"/>
  <c r="O1060" i="45"/>
  <c r="P1060" i="45"/>
  <c r="Q1060" i="45"/>
  <c r="A1061" i="45"/>
  <c r="B1061" i="45"/>
  <c r="N1061" i="45"/>
  <c r="O1061" i="45"/>
  <c r="P1061" i="45"/>
  <c r="Q1061" i="45"/>
  <c r="A1062" i="45"/>
  <c r="B1062" i="45"/>
  <c r="N1062" i="45"/>
  <c r="O1062" i="45"/>
  <c r="P1062" i="45"/>
  <c r="Q1062" i="45"/>
  <c r="A1063" i="45"/>
  <c r="B1063" i="45"/>
  <c r="N1063" i="45"/>
  <c r="O1063" i="45"/>
  <c r="P1063" i="45"/>
  <c r="Q1063" i="45"/>
  <c r="A1064" i="45"/>
  <c r="B1064" i="45"/>
  <c r="N1064" i="45"/>
  <c r="O1064" i="45"/>
  <c r="P1064" i="45"/>
  <c r="Q1064" i="45"/>
  <c r="A1065" i="45"/>
  <c r="B1065" i="45"/>
  <c r="N1065" i="45"/>
  <c r="O1065" i="45"/>
  <c r="P1065" i="45"/>
  <c r="Q1065" i="45"/>
  <c r="A1066" i="45"/>
  <c r="B1066" i="45"/>
  <c r="N1066" i="45"/>
  <c r="O1066" i="45"/>
  <c r="P1066" i="45"/>
  <c r="Q1066" i="45"/>
  <c r="A1067" i="45"/>
  <c r="B1067" i="45"/>
  <c r="N1067" i="45"/>
  <c r="O1067" i="45"/>
  <c r="P1067" i="45"/>
  <c r="Q1067" i="45"/>
  <c r="A1068" i="45"/>
  <c r="B1068" i="45"/>
  <c r="N1068" i="45"/>
  <c r="O1068" i="45"/>
  <c r="P1068" i="45"/>
  <c r="Q1068" i="45"/>
  <c r="A1069" i="45"/>
  <c r="B1069" i="45"/>
  <c r="N1069" i="45"/>
  <c r="O1069" i="45"/>
  <c r="P1069" i="45"/>
  <c r="Q1069" i="45"/>
  <c r="A1070" i="45"/>
  <c r="B1070" i="45"/>
  <c r="N1070" i="45"/>
  <c r="O1070" i="45"/>
  <c r="P1070" i="45"/>
  <c r="Q1070" i="45"/>
  <c r="A1071" i="45"/>
  <c r="B1071" i="45"/>
  <c r="N1071" i="45"/>
  <c r="O1071" i="45"/>
  <c r="P1071" i="45"/>
  <c r="Q1071" i="45"/>
  <c r="A1072" i="45"/>
  <c r="B1072" i="45"/>
  <c r="N1072" i="45"/>
  <c r="O1072" i="45"/>
  <c r="P1072" i="45"/>
  <c r="Q1072" i="45"/>
  <c r="A1073" i="45"/>
  <c r="B1073" i="45"/>
  <c r="N1073" i="45"/>
  <c r="O1073" i="45"/>
  <c r="P1073" i="45"/>
  <c r="Q1073" i="45"/>
  <c r="A1074" i="45"/>
  <c r="B1074" i="45"/>
  <c r="N1074" i="45"/>
  <c r="O1074" i="45"/>
  <c r="P1074" i="45"/>
  <c r="Q1074" i="45"/>
  <c r="A1075" i="45"/>
  <c r="B1075" i="45"/>
  <c r="N1075" i="45"/>
  <c r="O1075" i="45"/>
  <c r="P1075" i="45"/>
  <c r="Q1075" i="45"/>
  <c r="A1076" i="45"/>
  <c r="B1076" i="45"/>
  <c r="N1076" i="45"/>
  <c r="O1076" i="45"/>
  <c r="P1076" i="45"/>
  <c r="Q1076" i="45"/>
  <c r="A1077" i="45"/>
  <c r="B1077" i="45"/>
  <c r="N1077" i="45"/>
  <c r="O1077" i="45"/>
  <c r="P1077" i="45"/>
  <c r="Q1077" i="45"/>
  <c r="A1078" i="45"/>
  <c r="B1078" i="45"/>
  <c r="N1078" i="45"/>
  <c r="O1078" i="45"/>
  <c r="P1078" i="45"/>
  <c r="Q1078" i="45"/>
  <c r="A1079" i="45"/>
  <c r="B1079" i="45"/>
  <c r="N1079" i="45"/>
  <c r="O1079" i="45"/>
  <c r="P1079" i="45"/>
  <c r="Q1079" i="45"/>
  <c r="A1080" i="45"/>
  <c r="B1080" i="45"/>
  <c r="N1080" i="45"/>
  <c r="O1080" i="45"/>
  <c r="P1080" i="45"/>
  <c r="Q1080" i="45"/>
  <c r="A1081" i="45"/>
  <c r="B1081" i="45"/>
  <c r="N1081" i="45"/>
  <c r="O1081" i="45"/>
  <c r="P1081" i="45"/>
  <c r="Q1081" i="45"/>
  <c r="A1082" i="45"/>
  <c r="B1082" i="45"/>
  <c r="N1082" i="45"/>
  <c r="O1082" i="45"/>
  <c r="P1082" i="45"/>
  <c r="Q1082" i="45"/>
  <c r="A1083" i="45"/>
  <c r="B1083" i="45"/>
  <c r="N1083" i="45"/>
  <c r="O1083" i="45"/>
  <c r="P1083" i="45"/>
  <c r="Q1083" i="45"/>
  <c r="A1084" i="45"/>
  <c r="B1084" i="45"/>
  <c r="N1084" i="45"/>
  <c r="O1084" i="45"/>
  <c r="P1084" i="45"/>
  <c r="Q1084" i="45"/>
  <c r="A1085" i="45"/>
  <c r="B1085" i="45"/>
  <c r="N1085" i="45"/>
  <c r="O1085" i="45"/>
  <c r="P1085" i="45"/>
  <c r="Q1085" i="45"/>
  <c r="A1086" i="45"/>
  <c r="B1086" i="45"/>
  <c r="N1086" i="45"/>
  <c r="O1086" i="45"/>
  <c r="P1086" i="45"/>
  <c r="Q1086" i="45"/>
  <c r="A1087" i="45"/>
  <c r="B1087" i="45"/>
  <c r="N1087" i="45"/>
  <c r="O1087" i="45"/>
  <c r="P1087" i="45"/>
  <c r="Q1087" i="45"/>
  <c r="A1088" i="45"/>
  <c r="B1088" i="45"/>
  <c r="N1088" i="45"/>
  <c r="O1088" i="45"/>
  <c r="P1088" i="45"/>
  <c r="Q1088" i="45"/>
  <c r="A1089" i="45"/>
  <c r="B1089" i="45"/>
  <c r="N1089" i="45"/>
  <c r="O1089" i="45"/>
  <c r="P1089" i="45"/>
  <c r="Q1089" i="45"/>
  <c r="A1090" i="45"/>
  <c r="B1090" i="45"/>
  <c r="N1090" i="45"/>
  <c r="O1090" i="45"/>
  <c r="P1090" i="45"/>
  <c r="Q1090" i="45"/>
  <c r="A1091" i="45"/>
  <c r="B1091" i="45"/>
  <c r="N1091" i="45"/>
  <c r="O1091" i="45"/>
  <c r="P1091" i="45"/>
  <c r="Q1091" i="45"/>
  <c r="A1092" i="45"/>
  <c r="B1092" i="45"/>
  <c r="N1092" i="45"/>
  <c r="O1092" i="45"/>
  <c r="P1092" i="45"/>
  <c r="Q1092" i="45"/>
  <c r="A1093" i="45"/>
  <c r="B1093" i="45"/>
  <c r="N1093" i="45"/>
  <c r="O1093" i="45"/>
  <c r="P1093" i="45"/>
  <c r="Q1093" i="45"/>
  <c r="A1094" i="45"/>
  <c r="B1094" i="45"/>
  <c r="N1094" i="45"/>
  <c r="O1094" i="45"/>
  <c r="P1094" i="45"/>
  <c r="Q1094" i="45"/>
  <c r="A1095" i="45"/>
  <c r="B1095" i="45"/>
  <c r="N1095" i="45"/>
  <c r="O1095" i="45"/>
  <c r="P1095" i="45"/>
  <c r="Q1095" i="45"/>
  <c r="A1096" i="45"/>
  <c r="B1096" i="45"/>
  <c r="N1096" i="45"/>
  <c r="O1096" i="45"/>
  <c r="P1096" i="45"/>
  <c r="Q1096" i="45"/>
  <c r="A1097" i="45"/>
  <c r="B1097" i="45"/>
  <c r="N1097" i="45"/>
  <c r="O1097" i="45"/>
  <c r="P1097" i="45"/>
  <c r="Q1097" i="45"/>
  <c r="A1098" i="45"/>
  <c r="B1098" i="45"/>
  <c r="N1098" i="45"/>
  <c r="O1098" i="45"/>
  <c r="P1098" i="45"/>
  <c r="Q1098" i="45"/>
  <c r="A1099" i="45"/>
  <c r="B1099" i="45"/>
  <c r="N1099" i="45"/>
  <c r="O1099" i="45"/>
  <c r="P1099" i="45"/>
  <c r="Q1099" i="45"/>
  <c r="A1100" i="45"/>
  <c r="B1100" i="45"/>
  <c r="N1100" i="45"/>
  <c r="O1100" i="45"/>
  <c r="P1100" i="45"/>
  <c r="Q1100" i="45"/>
  <c r="A1101" i="45"/>
  <c r="B1101" i="45"/>
  <c r="N1101" i="45"/>
  <c r="O1101" i="45"/>
  <c r="P1101" i="45"/>
  <c r="Q1101" i="45"/>
  <c r="A1102" i="45"/>
  <c r="B1102" i="45"/>
  <c r="N1102" i="45"/>
  <c r="O1102" i="45"/>
  <c r="P1102" i="45"/>
  <c r="Q1102" i="45"/>
  <c r="A1103" i="45"/>
  <c r="B1103" i="45"/>
  <c r="N1103" i="45"/>
  <c r="O1103" i="45"/>
  <c r="P1103" i="45"/>
  <c r="Q1103" i="45"/>
  <c r="A1104" i="45"/>
  <c r="B1104" i="45"/>
  <c r="N1104" i="45"/>
  <c r="O1104" i="45"/>
  <c r="P1104" i="45"/>
  <c r="Q1104" i="45"/>
  <c r="A1105" i="45"/>
  <c r="B1105" i="45"/>
  <c r="N1105" i="45"/>
  <c r="O1105" i="45"/>
  <c r="P1105" i="45"/>
  <c r="Q1105" i="45"/>
  <c r="A1106" i="45"/>
  <c r="B1106" i="45"/>
  <c r="N1106" i="45"/>
  <c r="O1106" i="45"/>
  <c r="P1106" i="45"/>
  <c r="Q1106" i="45"/>
  <c r="A1107" i="45"/>
  <c r="B1107" i="45"/>
  <c r="N1107" i="45"/>
  <c r="O1107" i="45"/>
  <c r="P1107" i="45"/>
  <c r="Q1107" i="45"/>
  <c r="A1108" i="45"/>
  <c r="B1108" i="45"/>
  <c r="N1108" i="45"/>
  <c r="O1108" i="45"/>
  <c r="P1108" i="45"/>
  <c r="Q1108" i="45"/>
  <c r="A1109" i="45"/>
  <c r="B1109" i="45"/>
  <c r="N1109" i="45"/>
  <c r="O1109" i="45"/>
  <c r="P1109" i="45"/>
  <c r="Q1109" i="45"/>
  <c r="A1110" i="45"/>
  <c r="B1110" i="45"/>
  <c r="N1110" i="45"/>
  <c r="O1110" i="45"/>
  <c r="P1110" i="45"/>
  <c r="Q1110" i="45"/>
  <c r="A1111" i="45"/>
  <c r="B1111" i="45"/>
  <c r="N1111" i="45"/>
  <c r="O1111" i="45"/>
  <c r="P1111" i="45"/>
  <c r="Q1111" i="45"/>
  <c r="A1112" i="45"/>
  <c r="B1112" i="45"/>
  <c r="N1112" i="45"/>
  <c r="O1112" i="45"/>
  <c r="P1112" i="45"/>
  <c r="Q1112" i="45"/>
  <c r="A1113" i="45"/>
  <c r="B1113" i="45"/>
  <c r="N1113" i="45"/>
  <c r="O1113" i="45"/>
  <c r="P1113" i="45"/>
  <c r="Q1113" i="45"/>
  <c r="A1114" i="45"/>
  <c r="B1114" i="45"/>
  <c r="N1114" i="45"/>
  <c r="O1114" i="45"/>
  <c r="P1114" i="45"/>
  <c r="Q1114" i="45"/>
  <c r="A1115" i="45"/>
  <c r="B1115" i="45"/>
  <c r="N1115" i="45"/>
  <c r="O1115" i="45"/>
  <c r="P1115" i="45"/>
  <c r="Q1115" i="45"/>
  <c r="A1116" i="45"/>
  <c r="B1116" i="45"/>
  <c r="N1116" i="45"/>
  <c r="O1116" i="45"/>
  <c r="P1116" i="45"/>
  <c r="Q1116" i="45"/>
  <c r="A1117" i="45"/>
  <c r="B1117" i="45"/>
  <c r="N1117" i="45"/>
  <c r="O1117" i="45"/>
  <c r="P1117" i="45"/>
  <c r="Q1117" i="45"/>
  <c r="A1118" i="45"/>
  <c r="B1118" i="45"/>
  <c r="N1118" i="45"/>
  <c r="O1118" i="45"/>
  <c r="P1118" i="45"/>
  <c r="Q1118" i="45"/>
  <c r="A1119" i="45"/>
  <c r="B1119" i="45"/>
  <c r="N1119" i="45"/>
  <c r="O1119" i="45"/>
  <c r="P1119" i="45"/>
  <c r="Q1119" i="45"/>
  <c r="A1120" i="45"/>
  <c r="B1120" i="45"/>
  <c r="N1120" i="45"/>
  <c r="O1120" i="45"/>
  <c r="P1120" i="45"/>
  <c r="Q1120" i="45"/>
  <c r="A1121" i="45"/>
  <c r="B1121" i="45"/>
  <c r="N1121" i="45"/>
  <c r="O1121" i="45"/>
  <c r="P1121" i="45"/>
  <c r="Q1121" i="45"/>
  <c r="A1122" i="45"/>
  <c r="B1122" i="45"/>
  <c r="N1122" i="45"/>
  <c r="O1122" i="45"/>
  <c r="P1122" i="45"/>
  <c r="Q1122" i="45"/>
  <c r="A1123" i="45"/>
  <c r="B1123" i="45"/>
  <c r="N1123" i="45"/>
  <c r="O1123" i="45"/>
  <c r="P1123" i="45"/>
  <c r="Q1123" i="45"/>
  <c r="A1124" i="45"/>
  <c r="B1124" i="45"/>
  <c r="N1124" i="45"/>
  <c r="O1124" i="45"/>
  <c r="P1124" i="45"/>
  <c r="Q1124" i="45"/>
  <c r="A1125" i="45"/>
  <c r="B1125" i="45"/>
  <c r="N1125" i="45"/>
  <c r="O1125" i="45"/>
  <c r="P1125" i="45"/>
  <c r="Q1125" i="45"/>
  <c r="A1126" i="45"/>
  <c r="B1126" i="45"/>
  <c r="N1126" i="45"/>
  <c r="O1126" i="45"/>
  <c r="P1126" i="45"/>
  <c r="Q1126" i="45"/>
  <c r="A1127" i="45"/>
  <c r="B1127" i="45"/>
  <c r="N1127" i="45"/>
  <c r="O1127" i="45"/>
  <c r="P1127" i="45"/>
  <c r="Q1127" i="45"/>
  <c r="A1128" i="45"/>
  <c r="B1128" i="45"/>
  <c r="N1128" i="45"/>
  <c r="O1128" i="45"/>
  <c r="P1128" i="45"/>
  <c r="Q1128" i="45"/>
  <c r="A1129" i="45"/>
  <c r="B1129" i="45"/>
  <c r="N1129" i="45"/>
  <c r="O1129" i="45"/>
  <c r="P1129" i="45"/>
  <c r="Q1129" i="45"/>
  <c r="A1130" i="45"/>
  <c r="B1130" i="45"/>
  <c r="N1130" i="45"/>
  <c r="O1130" i="45"/>
  <c r="P1130" i="45"/>
  <c r="Q1130" i="45"/>
  <c r="A1131" i="45"/>
  <c r="B1131" i="45"/>
  <c r="N1131" i="45"/>
  <c r="O1131" i="45"/>
  <c r="P1131" i="45"/>
  <c r="Q1131" i="45"/>
  <c r="A1132" i="45"/>
  <c r="B1132" i="45"/>
  <c r="N1132" i="45"/>
  <c r="O1132" i="45"/>
  <c r="P1132" i="45"/>
  <c r="Q1132" i="45"/>
  <c r="A1133" i="45"/>
  <c r="B1133" i="45"/>
  <c r="N1133" i="45"/>
  <c r="O1133" i="45"/>
  <c r="P1133" i="45"/>
  <c r="Q1133" i="45"/>
  <c r="A1134" i="45"/>
  <c r="B1134" i="45"/>
  <c r="N1134" i="45"/>
  <c r="O1134" i="45"/>
  <c r="P1134" i="45"/>
  <c r="Q1134" i="45"/>
  <c r="A1135" i="45"/>
  <c r="B1135" i="45"/>
  <c r="N1135" i="45"/>
  <c r="O1135" i="45"/>
  <c r="P1135" i="45"/>
  <c r="Q1135" i="45"/>
  <c r="A1136" i="45"/>
  <c r="B1136" i="45"/>
  <c r="N1136" i="45"/>
  <c r="O1136" i="45"/>
  <c r="P1136" i="45"/>
  <c r="Q1136" i="45"/>
  <c r="A1137" i="45"/>
  <c r="B1137" i="45"/>
  <c r="N1137" i="45"/>
  <c r="O1137" i="45"/>
  <c r="P1137" i="45"/>
  <c r="Q1137" i="45"/>
  <c r="A1138" i="45"/>
  <c r="B1138" i="45"/>
  <c r="N1138" i="45"/>
  <c r="O1138" i="45"/>
  <c r="P1138" i="45"/>
  <c r="Q1138" i="45"/>
  <c r="A1139" i="45"/>
  <c r="B1139" i="45"/>
  <c r="N1139" i="45"/>
  <c r="O1139" i="45"/>
  <c r="P1139" i="45"/>
  <c r="Q1139" i="45"/>
  <c r="A1140" i="45"/>
  <c r="B1140" i="45"/>
  <c r="N1140" i="45"/>
  <c r="O1140" i="45"/>
  <c r="P1140" i="45"/>
  <c r="Q1140" i="45"/>
  <c r="A1141" i="45"/>
  <c r="B1141" i="45"/>
  <c r="N1141" i="45"/>
  <c r="O1141" i="45"/>
  <c r="P1141" i="45"/>
  <c r="Q1141" i="45"/>
  <c r="A1142" i="45"/>
  <c r="B1142" i="45"/>
  <c r="N1142" i="45"/>
  <c r="O1142" i="45"/>
  <c r="P1142" i="45"/>
  <c r="Q1142" i="45"/>
  <c r="A1143" i="45"/>
  <c r="B1143" i="45"/>
  <c r="N1143" i="45"/>
  <c r="O1143" i="45"/>
  <c r="P1143" i="45"/>
  <c r="Q1143" i="45"/>
  <c r="A1144" i="45"/>
  <c r="B1144" i="45"/>
  <c r="N1144" i="45"/>
  <c r="O1144" i="45"/>
  <c r="P1144" i="45"/>
  <c r="Q1144" i="45"/>
  <c r="A1145" i="45"/>
  <c r="B1145" i="45"/>
  <c r="N1145" i="45"/>
  <c r="O1145" i="45"/>
  <c r="P1145" i="45"/>
  <c r="Q1145" i="45"/>
  <c r="A1146" i="45"/>
  <c r="B1146" i="45"/>
  <c r="N1146" i="45"/>
  <c r="O1146" i="45"/>
  <c r="P1146" i="45"/>
  <c r="Q1146" i="45"/>
  <c r="A1147" i="45"/>
  <c r="B1147" i="45"/>
  <c r="N1147" i="45"/>
  <c r="O1147" i="45"/>
  <c r="P1147" i="45"/>
  <c r="Q1147" i="45"/>
  <c r="A1148" i="45"/>
  <c r="B1148" i="45"/>
  <c r="N1148" i="45"/>
  <c r="O1148" i="45"/>
  <c r="P1148" i="45"/>
  <c r="Q1148" i="45"/>
  <c r="A1149" i="45"/>
  <c r="B1149" i="45"/>
  <c r="N1149" i="45"/>
  <c r="O1149" i="45"/>
  <c r="P1149" i="45"/>
  <c r="Q1149" i="45"/>
  <c r="A1150" i="45"/>
  <c r="B1150" i="45"/>
  <c r="N1150" i="45"/>
  <c r="O1150" i="45"/>
  <c r="P1150" i="45"/>
  <c r="Q1150" i="45"/>
  <c r="A1151" i="45"/>
  <c r="B1151" i="45"/>
  <c r="N1151" i="45"/>
  <c r="O1151" i="45"/>
  <c r="P1151" i="45"/>
  <c r="Q1151" i="45"/>
  <c r="A1152" i="45"/>
  <c r="B1152" i="45"/>
  <c r="N1152" i="45"/>
  <c r="O1152" i="45"/>
  <c r="P1152" i="45"/>
  <c r="Q1152" i="45"/>
  <c r="A1153" i="45"/>
  <c r="B1153" i="45"/>
  <c r="N1153" i="45"/>
  <c r="O1153" i="45"/>
  <c r="P1153" i="45"/>
  <c r="Q1153" i="45"/>
  <c r="A1154" i="45"/>
  <c r="B1154" i="45"/>
  <c r="N1154" i="45"/>
  <c r="O1154" i="45"/>
  <c r="P1154" i="45"/>
  <c r="Q1154" i="45"/>
  <c r="A1155" i="45"/>
  <c r="B1155" i="45"/>
  <c r="N1155" i="45"/>
  <c r="O1155" i="45"/>
  <c r="P1155" i="45"/>
  <c r="Q1155" i="45"/>
  <c r="A1156" i="45"/>
  <c r="B1156" i="45"/>
  <c r="N1156" i="45"/>
  <c r="O1156" i="45"/>
  <c r="P1156" i="45"/>
  <c r="Q1156" i="45"/>
  <c r="A1157" i="45"/>
  <c r="B1157" i="45"/>
  <c r="N1157" i="45"/>
  <c r="O1157" i="45"/>
  <c r="P1157" i="45"/>
  <c r="Q1157" i="45"/>
  <c r="A1158" i="45"/>
  <c r="B1158" i="45"/>
  <c r="N1158" i="45"/>
  <c r="O1158" i="45"/>
  <c r="P1158" i="45"/>
  <c r="Q1158" i="45"/>
  <c r="A1159" i="45"/>
  <c r="B1159" i="45"/>
  <c r="N1159" i="45"/>
  <c r="O1159" i="45"/>
  <c r="P1159" i="45"/>
  <c r="Q1159" i="45"/>
  <c r="A1160" i="45"/>
  <c r="B1160" i="45"/>
  <c r="N1160" i="45"/>
  <c r="O1160" i="45"/>
  <c r="P1160" i="45"/>
  <c r="Q1160" i="45"/>
  <c r="A1161" i="45"/>
  <c r="B1161" i="45"/>
  <c r="N1161" i="45"/>
  <c r="O1161" i="45"/>
  <c r="P1161" i="45"/>
  <c r="Q1161" i="45"/>
  <c r="A1162" i="45"/>
  <c r="B1162" i="45"/>
  <c r="N1162" i="45"/>
  <c r="O1162" i="45"/>
  <c r="P1162" i="45"/>
  <c r="Q1162" i="45"/>
  <c r="A1163" i="45"/>
  <c r="B1163" i="45"/>
  <c r="N1163" i="45"/>
  <c r="O1163" i="45"/>
  <c r="P1163" i="45"/>
  <c r="Q1163" i="45"/>
  <c r="A1164" i="45"/>
  <c r="B1164" i="45"/>
  <c r="N1164" i="45"/>
  <c r="O1164" i="45"/>
  <c r="P1164" i="45"/>
  <c r="Q1164" i="45"/>
  <c r="A1165" i="45"/>
  <c r="B1165" i="45"/>
  <c r="N1165" i="45"/>
  <c r="O1165" i="45"/>
  <c r="P1165" i="45"/>
  <c r="Q1165" i="45"/>
  <c r="A1166" i="45"/>
  <c r="B1166" i="45"/>
  <c r="N1166" i="45"/>
  <c r="O1166" i="45"/>
  <c r="P1166" i="45"/>
  <c r="Q1166" i="45"/>
  <c r="A1167" i="45"/>
  <c r="B1167" i="45"/>
  <c r="N1167" i="45"/>
  <c r="O1167" i="45"/>
  <c r="P1167" i="45"/>
  <c r="Q1167" i="45"/>
  <c r="A1168" i="45"/>
  <c r="B1168" i="45"/>
  <c r="N1168" i="45"/>
  <c r="O1168" i="45"/>
  <c r="P1168" i="45"/>
  <c r="Q1168" i="45"/>
  <c r="A1169" i="45"/>
  <c r="B1169" i="45"/>
  <c r="N1169" i="45"/>
  <c r="O1169" i="45"/>
  <c r="P1169" i="45"/>
  <c r="Q1169" i="45"/>
  <c r="A1170" i="45"/>
  <c r="B1170" i="45"/>
  <c r="N1170" i="45"/>
  <c r="O1170" i="45"/>
  <c r="P1170" i="45"/>
  <c r="Q1170" i="45"/>
  <c r="A1171" i="45"/>
  <c r="B1171" i="45"/>
  <c r="N1171" i="45"/>
  <c r="O1171" i="45"/>
  <c r="P1171" i="45"/>
  <c r="Q1171" i="45"/>
  <c r="A1172" i="45"/>
  <c r="B1172" i="45"/>
  <c r="N1172" i="45"/>
  <c r="O1172" i="45"/>
  <c r="P1172" i="45"/>
  <c r="Q1172" i="45"/>
  <c r="A1173" i="45"/>
  <c r="B1173" i="45"/>
  <c r="N1173" i="45"/>
  <c r="O1173" i="45"/>
  <c r="P1173" i="45"/>
  <c r="Q1173" i="45"/>
  <c r="A1174" i="45"/>
  <c r="B1174" i="45"/>
  <c r="N1174" i="45"/>
  <c r="O1174" i="45"/>
  <c r="P1174" i="45"/>
  <c r="Q1174" i="45"/>
  <c r="A1175" i="45"/>
  <c r="B1175" i="45"/>
  <c r="N1175" i="45"/>
  <c r="O1175" i="45"/>
  <c r="P1175" i="45"/>
  <c r="Q1175" i="45"/>
  <c r="A1176" i="45"/>
  <c r="B1176" i="45"/>
  <c r="N1176" i="45"/>
  <c r="O1176" i="45"/>
  <c r="P1176" i="45"/>
  <c r="Q1176" i="45"/>
  <c r="A1177" i="45"/>
  <c r="B1177" i="45"/>
  <c r="N1177" i="45"/>
  <c r="O1177" i="45"/>
  <c r="P1177" i="45"/>
  <c r="Q1177" i="45"/>
  <c r="A1178" i="45"/>
  <c r="B1178" i="45"/>
  <c r="N1178" i="45"/>
  <c r="O1178" i="45"/>
  <c r="P1178" i="45"/>
  <c r="Q1178" i="45"/>
  <c r="A1179" i="45"/>
  <c r="B1179" i="45"/>
  <c r="N1179" i="45"/>
  <c r="O1179" i="45"/>
  <c r="P1179" i="45"/>
  <c r="Q1179" i="45"/>
  <c r="A1180" i="45"/>
  <c r="B1180" i="45"/>
  <c r="N1180" i="45"/>
  <c r="O1180" i="45"/>
  <c r="P1180" i="45"/>
  <c r="Q1180" i="45"/>
  <c r="A1181" i="45"/>
  <c r="B1181" i="45"/>
  <c r="N1181" i="45"/>
  <c r="O1181" i="45"/>
  <c r="P1181" i="45"/>
  <c r="Q1181" i="45"/>
  <c r="A1182" i="45"/>
  <c r="B1182" i="45"/>
  <c r="N1182" i="45"/>
  <c r="O1182" i="45"/>
  <c r="P1182" i="45"/>
  <c r="Q1182" i="45"/>
  <c r="A1183" i="45"/>
  <c r="B1183" i="45"/>
  <c r="N1183" i="45"/>
  <c r="O1183" i="45"/>
  <c r="P1183" i="45"/>
  <c r="Q1183" i="45"/>
  <c r="A1184" i="45"/>
  <c r="B1184" i="45"/>
  <c r="N1184" i="45"/>
  <c r="O1184" i="45"/>
  <c r="P1184" i="45"/>
  <c r="Q1184" i="45"/>
  <c r="A1185" i="45"/>
  <c r="B1185" i="45"/>
  <c r="N1185" i="45"/>
  <c r="O1185" i="45"/>
  <c r="P1185" i="45"/>
  <c r="Q1185" i="45"/>
  <c r="A1186" i="45"/>
  <c r="B1186" i="45"/>
  <c r="N1186" i="45"/>
  <c r="O1186" i="45"/>
  <c r="P1186" i="45"/>
  <c r="Q1186" i="45"/>
  <c r="A1187" i="45"/>
  <c r="B1187" i="45"/>
  <c r="N1187" i="45"/>
  <c r="O1187" i="45"/>
  <c r="P1187" i="45"/>
  <c r="Q1187" i="45"/>
  <c r="A1188" i="45"/>
  <c r="B1188" i="45"/>
  <c r="N1188" i="45"/>
  <c r="O1188" i="45"/>
  <c r="P1188" i="45"/>
  <c r="Q1188" i="45"/>
  <c r="A1189" i="45"/>
  <c r="B1189" i="45"/>
  <c r="N1189" i="45"/>
  <c r="O1189" i="45"/>
  <c r="P1189" i="45"/>
  <c r="Q1189" i="45"/>
  <c r="A1190" i="45"/>
  <c r="B1190" i="45"/>
  <c r="N1190" i="45"/>
  <c r="O1190" i="45"/>
  <c r="P1190" i="45"/>
  <c r="Q1190" i="45"/>
  <c r="A1191" i="45"/>
  <c r="B1191" i="45"/>
  <c r="N1191" i="45"/>
  <c r="O1191" i="45"/>
  <c r="P1191" i="45"/>
  <c r="Q1191" i="45"/>
  <c r="A1192" i="45"/>
  <c r="B1192" i="45"/>
  <c r="N1192" i="45"/>
  <c r="O1192" i="45"/>
  <c r="P1192" i="45"/>
  <c r="Q1192" i="45"/>
  <c r="A1193" i="45"/>
  <c r="B1193" i="45"/>
  <c r="N1193" i="45"/>
  <c r="O1193" i="45"/>
  <c r="P1193" i="45"/>
  <c r="Q1193" i="45"/>
  <c r="A1194" i="45"/>
  <c r="B1194" i="45"/>
  <c r="N1194" i="45"/>
  <c r="O1194" i="45"/>
  <c r="P1194" i="45"/>
  <c r="Q1194" i="45"/>
  <c r="A1195" i="45"/>
  <c r="B1195" i="45"/>
  <c r="N1195" i="45"/>
  <c r="O1195" i="45"/>
  <c r="P1195" i="45"/>
  <c r="Q1195" i="45"/>
  <c r="A1196" i="45"/>
  <c r="B1196" i="45"/>
  <c r="N1196" i="45"/>
  <c r="O1196" i="45"/>
  <c r="P1196" i="45"/>
  <c r="Q1196" i="45"/>
  <c r="A1197" i="45"/>
  <c r="B1197" i="45"/>
  <c r="N1197" i="45"/>
  <c r="O1197" i="45"/>
  <c r="P1197" i="45"/>
  <c r="Q1197" i="45"/>
  <c r="A1198" i="45"/>
  <c r="B1198" i="45"/>
  <c r="N1198" i="45"/>
  <c r="O1198" i="45"/>
  <c r="P1198" i="45"/>
  <c r="Q1198" i="45"/>
  <c r="A1199" i="45"/>
  <c r="B1199" i="45"/>
  <c r="N1199" i="45"/>
  <c r="O1199" i="45"/>
  <c r="P1199" i="45"/>
  <c r="Q1199" i="45"/>
  <c r="A1200" i="45"/>
  <c r="B1200" i="45"/>
  <c r="N1200" i="45"/>
  <c r="O1200" i="45"/>
  <c r="P1200" i="45"/>
  <c r="Q1200" i="45"/>
  <c r="A1201" i="45"/>
  <c r="B1201" i="45"/>
  <c r="N1201" i="45"/>
  <c r="O1201" i="45"/>
  <c r="P1201" i="45"/>
  <c r="Q1201" i="45"/>
  <c r="A1202" i="45"/>
  <c r="B1202" i="45"/>
  <c r="N1202" i="45"/>
  <c r="O1202" i="45"/>
  <c r="P1202" i="45"/>
  <c r="Q1202" i="45"/>
  <c r="A1203" i="45"/>
  <c r="B1203" i="45"/>
  <c r="N1203" i="45"/>
  <c r="O1203" i="45"/>
  <c r="P1203" i="45"/>
  <c r="Q1203" i="45"/>
  <c r="A1204" i="45"/>
  <c r="B1204" i="45"/>
  <c r="N1204" i="45"/>
  <c r="O1204" i="45"/>
  <c r="P1204" i="45"/>
  <c r="Q1204" i="45"/>
  <c r="A1205" i="45"/>
  <c r="B1205" i="45"/>
  <c r="N1205" i="45"/>
  <c r="O1205" i="45"/>
  <c r="P1205" i="45"/>
  <c r="Q1205" i="45"/>
  <c r="A1206" i="45"/>
  <c r="B1206" i="45"/>
  <c r="N1206" i="45"/>
  <c r="O1206" i="45"/>
  <c r="P1206" i="45"/>
  <c r="Q1206" i="45"/>
  <c r="A1207" i="45"/>
  <c r="B1207" i="45"/>
  <c r="N1207" i="45"/>
  <c r="O1207" i="45"/>
  <c r="P1207" i="45"/>
  <c r="Q1207" i="45"/>
  <c r="A1208" i="45"/>
  <c r="B1208" i="45"/>
  <c r="N1208" i="45"/>
  <c r="O1208" i="45"/>
  <c r="P1208" i="45"/>
  <c r="Q1208" i="45"/>
  <c r="A1209" i="45"/>
  <c r="B1209" i="45"/>
  <c r="N1209" i="45"/>
  <c r="O1209" i="45"/>
  <c r="P1209" i="45"/>
  <c r="Q1209" i="45"/>
  <c r="A1210" i="45"/>
  <c r="B1210" i="45"/>
  <c r="N1210" i="45"/>
  <c r="O1210" i="45"/>
  <c r="P1210" i="45"/>
  <c r="Q1210" i="45"/>
  <c r="A1211" i="45"/>
  <c r="B1211" i="45"/>
  <c r="N1211" i="45"/>
  <c r="O1211" i="45"/>
  <c r="P1211" i="45"/>
  <c r="Q1211" i="45"/>
  <c r="A1212" i="45"/>
  <c r="B1212" i="45"/>
  <c r="N1212" i="45"/>
  <c r="O1212" i="45"/>
  <c r="P1212" i="45"/>
  <c r="Q1212" i="45"/>
  <c r="A1213" i="45"/>
  <c r="B1213" i="45"/>
  <c r="N1213" i="45"/>
  <c r="O1213" i="45"/>
  <c r="P1213" i="45"/>
  <c r="Q1213" i="45"/>
  <c r="A1214" i="45"/>
  <c r="B1214" i="45"/>
  <c r="N1214" i="45"/>
  <c r="O1214" i="45"/>
  <c r="P1214" i="45"/>
  <c r="Q1214" i="45"/>
  <c r="A1215" i="45"/>
  <c r="B1215" i="45"/>
  <c r="N1215" i="45"/>
  <c r="O1215" i="45"/>
  <c r="P1215" i="45"/>
  <c r="Q1215" i="45"/>
  <c r="A1216" i="45"/>
  <c r="B1216" i="45"/>
  <c r="N1216" i="45"/>
  <c r="O1216" i="45"/>
  <c r="P1216" i="45"/>
  <c r="Q1216" i="45"/>
  <c r="A1217" i="45"/>
  <c r="B1217" i="45"/>
  <c r="N1217" i="45"/>
  <c r="O1217" i="45"/>
  <c r="P1217" i="45"/>
  <c r="Q1217" i="45"/>
  <c r="A1218" i="45"/>
  <c r="B1218" i="45"/>
  <c r="N1218" i="45"/>
  <c r="O1218" i="45"/>
  <c r="P1218" i="45"/>
  <c r="Q1218" i="45"/>
  <c r="A1219" i="45"/>
  <c r="B1219" i="45"/>
  <c r="N1219" i="45"/>
  <c r="O1219" i="45"/>
  <c r="P1219" i="45"/>
  <c r="Q1219" i="45"/>
  <c r="A1220" i="45"/>
  <c r="B1220" i="45"/>
  <c r="N1220" i="45"/>
  <c r="O1220" i="45"/>
  <c r="P1220" i="45"/>
  <c r="Q1220" i="45"/>
  <c r="A1221" i="45"/>
  <c r="B1221" i="45"/>
  <c r="N1221" i="45"/>
  <c r="O1221" i="45"/>
  <c r="P1221" i="45"/>
  <c r="Q1221" i="45"/>
  <c r="A1222" i="45"/>
  <c r="B1222" i="45"/>
  <c r="N1222" i="45"/>
  <c r="O1222" i="45"/>
  <c r="P1222" i="45"/>
  <c r="Q1222" i="45"/>
  <c r="A1223" i="45"/>
  <c r="B1223" i="45"/>
  <c r="N1223" i="45"/>
  <c r="O1223" i="45"/>
  <c r="P1223" i="45"/>
  <c r="Q1223" i="45"/>
  <c r="A1224" i="45"/>
  <c r="B1224" i="45"/>
  <c r="N1224" i="45"/>
  <c r="O1224" i="45"/>
  <c r="P1224" i="45"/>
  <c r="Q1224" i="45"/>
  <c r="A1225" i="45"/>
  <c r="B1225" i="45"/>
  <c r="N1225" i="45"/>
  <c r="O1225" i="45"/>
  <c r="P1225" i="45"/>
  <c r="Q1225" i="45"/>
  <c r="A1226" i="45"/>
  <c r="B1226" i="45"/>
  <c r="N1226" i="45"/>
  <c r="O1226" i="45"/>
  <c r="P1226" i="45"/>
  <c r="Q1226" i="45"/>
  <c r="A1227" i="45"/>
  <c r="B1227" i="45"/>
  <c r="N1227" i="45"/>
  <c r="O1227" i="45"/>
  <c r="P1227" i="45"/>
  <c r="Q1227" i="45"/>
  <c r="A1228" i="45"/>
  <c r="B1228" i="45"/>
  <c r="N1228" i="45"/>
  <c r="O1228" i="45"/>
  <c r="P1228" i="45"/>
  <c r="Q1228" i="45"/>
  <c r="A1229" i="45"/>
  <c r="B1229" i="45"/>
  <c r="N1229" i="45"/>
  <c r="O1229" i="45"/>
  <c r="P1229" i="45"/>
  <c r="Q1229" i="45"/>
  <c r="A1230" i="45"/>
  <c r="B1230" i="45"/>
  <c r="N1230" i="45"/>
  <c r="O1230" i="45"/>
  <c r="P1230" i="45"/>
  <c r="Q1230" i="45"/>
  <c r="A1231" i="45"/>
  <c r="B1231" i="45"/>
  <c r="N1231" i="45"/>
  <c r="O1231" i="45"/>
  <c r="P1231" i="45"/>
  <c r="Q1231" i="45"/>
  <c r="A1232" i="45"/>
  <c r="B1232" i="45"/>
  <c r="N1232" i="45"/>
  <c r="O1232" i="45"/>
  <c r="P1232" i="45"/>
  <c r="Q1232" i="45"/>
  <c r="A1233" i="45"/>
  <c r="B1233" i="45"/>
  <c r="N1233" i="45"/>
  <c r="O1233" i="45"/>
  <c r="P1233" i="45"/>
  <c r="Q1233" i="45"/>
  <c r="A1234" i="45"/>
  <c r="B1234" i="45"/>
  <c r="N1234" i="45"/>
  <c r="O1234" i="45"/>
  <c r="P1234" i="45"/>
  <c r="Q1234" i="45"/>
  <c r="A1235" i="45"/>
  <c r="B1235" i="45"/>
  <c r="N1235" i="45"/>
  <c r="O1235" i="45"/>
  <c r="P1235" i="45"/>
  <c r="Q1235" i="45"/>
  <c r="A1236" i="45"/>
  <c r="B1236" i="45"/>
  <c r="N1236" i="45"/>
  <c r="O1236" i="45"/>
  <c r="P1236" i="45"/>
  <c r="Q1236" i="45"/>
  <c r="A1237" i="45"/>
  <c r="B1237" i="45"/>
  <c r="N1237" i="45"/>
  <c r="O1237" i="45"/>
  <c r="P1237" i="45"/>
  <c r="Q1237" i="45"/>
  <c r="A1238" i="45"/>
  <c r="B1238" i="45"/>
  <c r="N1238" i="45"/>
  <c r="O1238" i="45"/>
  <c r="P1238" i="45"/>
  <c r="Q1238" i="45"/>
  <c r="A1239" i="45"/>
  <c r="B1239" i="45"/>
  <c r="N1239" i="45"/>
  <c r="O1239" i="45"/>
  <c r="P1239" i="45"/>
  <c r="Q1239" i="45"/>
  <c r="A1240" i="45"/>
  <c r="B1240" i="45"/>
  <c r="N1240" i="45"/>
  <c r="O1240" i="45"/>
  <c r="P1240" i="45"/>
  <c r="Q1240" i="45"/>
  <c r="A1241" i="45"/>
  <c r="B1241" i="45"/>
  <c r="N1241" i="45"/>
  <c r="O1241" i="45"/>
  <c r="P1241" i="45"/>
  <c r="Q1241" i="45"/>
  <c r="A1242" i="45"/>
  <c r="B1242" i="45"/>
  <c r="N1242" i="45"/>
  <c r="O1242" i="45"/>
  <c r="P1242" i="45"/>
  <c r="Q1242" i="45"/>
  <c r="A1243" i="45"/>
  <c r="B1243" i="45"/>
  <c r="N1243" i="45"/>
  <c r="O1243" i="45"/>
  <c r="P1243" i="45"/>
  <c r="Q1243" i="45"/>
  <c r="A1244" i="45"/>
  <c r="B1244" i="45"/>
  <c r="N1244" i="45"/>
  <c r="O1244" i="45"/>
  <c r="P1244" i="45"/>
  <c r="Q1244" i="45"/>
  <c r="A1245" i="45"/>
  <c r="B1245" i="45"/>
  <c r="N1245" i="45"/>
  <c r="O1245" i="45"/>
  <c r="P1245" i="45"/>
  <c r="Q1245" i="45"/>
  <c r="A1246" i="45"/>
  <c r="B1246" i="45"/>
  <c r="N1246" i="45"/>
  <c r="O1246" i="45"/>
  <c r="P1246" i="45"/>
  <c r="Q1246" i="45"/>
  <c r="A1247" i="45"/>
  <c r="B1247" i="45"/>
  <c r="N1247" i="45"/>
  <c r="O1247" i="45"/>
  <c r="P1247" i="45"/>
  <c r="Q1247" i="45"/>
  <c r="A1248" i="45"/>
  <c r="B1248" i="45"/>
  <c r="N1248" i="45"/>
  <c r="O1248" i="45"/>
  <c r="P1248" i="45"/>
  <c r="Q1248" i="45"/>
  <c r="A1249" i="45"/>
  <c r="B1249" i="45"/>
  <c r="N1249" i="45"/>
  <c r="O1249" i="45"/>
  <c r="P1249" i="45"/>
  <c r="Q1249" i="45"/>
  <c r="A1250" i="45"/>
  <c r="B1250" i="45"/>
  <c r="N1250" i="45"/>
  <c r="O1250" i="45"/>
  <c r="P1250" i="45"/>
  <c r="Q1250" i="45"/>
  <c r="A1251" i="45"/>
  <c r="B1251" i="45"/>
  <c r="N1251" i="45"/>
  <c r="O1251" i="45"/>
  <c r="P1251" i="45"/>
  <c r="Q1251" i="45"/>
  <c r="A1252" i="45"/>
  <c r="B1252" i="45"/>
  <c r="N1252" i="45"/>
  <c r="O1252" i="45"/>
  <c r="P1252" i="45"/>
  <c r="Q1252" i="45"/>
  <c r="A1253" i="45"/>
  <c r="B1253" i="45"/>
  <c r="N1253" i="45"/>
  <c r="O1253" i="45"/>
  <c r="P1253" i="45"/>
  <c r="Q1253" i="45"/>
  <c r="A1254" i="45"/>
  <c r="B1254" i="45"/>
  <c r="N1254" i="45"/>
  <c r="O1254" i="45"/>
  <c r="P1254" i="45"/>
  <c r="Q1254" i="45"/>
  <c r="A1255" i="45"/>
  <c r="B1255" i="45"/>
  <c r="N1255" i="45"/>
  <c r="O1255" i="45"/>
  <c r="P1255" i="45"/>
  <c r="Q1255" i="45"/>
  <c r="A1256" i="45"/>
  <c r="B1256" i="45"/>
  <c r="N1256" i="45"/>
  <c r="O1256" i="45"/>
  <c r="P1256" i="45"/>
  <c r="Q1256" i="45"/>
  <c r="A1257" i="45"/>
  <c r="B1257" i="45"/>
  <c r="N1257" i="45"/>
  <c r="O1257" i="45"/>
  <c r="P1257" i="45"/>
  <c r="Q1257" i="45"/>
  <c r="A1258" i="45"/>
  <c r="B1258" i="45"/>
  <c r="N1258" i="45"/>
  <c r="O1258" i="45"/>
  <c r="P1258" i="45"/>
  <c r="Q1258" i="45"/>
  <c r="A1259" i="45"/>
  <c r="B1259" i="45"/>
  <c r="N1259" i="45"/>
  <c r="O1259" i="45"/>
  <c r="P1259" i="45"/>
  <c r="Q1259" i="45"/>
  <c r="A1260" i="45"/>
  <c r="B1260" i="45"/>
  <c r="N1260" i="45"/>
  <c r="O1260" i="45"/>
  <c r="P1260" i="45"/>
  <c r="Q1260" i="45"/>
  <c r="A1261" i="45"/>
  <c r="B1261" i="45"/>
  <c r="N1261" i="45"/>
  <c r="O1261" i="45"/>
  <c r="P1261" i="45"/>
  <c r="Q1261" i="45"/>
  <c r="A1262" i="45"/>
  <c r="B1262" i="45"/>
  <c r="N1262" i="45"/>
  <c r="O1262" i="45"/>
  <c r="P1262" i="45"/>
  <c r="Q1262" i="45"/>
  <c r="A1263" i="45"/>
  <c r="B1263" i="45"/>
  <c r="N1263" i="45"/>
  <c r="O1263" i="45"/>
  <c r="P1263" i="45"/>
  <c r="Q1263" i="45"/>
  <c r="A1264" i="45"/>
  <c r="B1264" i="45"/>
  <c r="N1264" i="45"/>
  <c r="O1264" i="45"/>
  <c r="P1264" i="45"/>
  <c r="Q1264" i="45"/>
  <c r="A1265" i="45"/>
  <c r="B1265" i="45"/>
  <c r="N1265" i="45"/>
  <c r="O1265" i="45"/>
  <c r="P1265" i="45"/>
  <c r="Q1265" i="45"/>
  <c r="A1266" i="45"/>
  <c r="B1266" i="45"/>
  <c r="N1266" i="45"/>
  <c r="O1266" i="45"/>
  <c r="P1266" i="45"/>
  <c r="Q1266" i="45"/>
  <c r="A1267" i="45"/>
  <c r="B1267" i="45"/>
  <c r="N1267" i="45"/>
  <c r="O1267" i="45"/>
  <c r="P1267" i="45"/>
  <c r="Q1267" i="45"/>
  <c r="A1268" i="45"/>
  <c r="B1268" i="45"/>
  <c r="N1268" i="45"/>
  <c r="O1268" i="45"/>
  <c r="P1268" i="45"/>
  <c r="Q1268" i="45"/>
  <c r="A1269" i="45"/>
  <c r="B1269" i="45"/>
  <c r="N1269" i="45"/>
  <c r="O1269" i="45"/>
  <c r="P1269" i="45"/>
  <c r="Q1269" i="45"/>
  <c r="A1270" i="45"/>
  <c r="B1270" i="45"/>
  <c r="N1270" i="45"/>
  <c r="O1270" i="45"/>
  <c r="P1270" i="45"/>
  <c r="Q1270" i="45"/>
  <c r="A1271" i="45"/>
  <c r="B1271" i="45"/>
  <c r="N1271" i="45"/>
  <c r="O1271" i="45"/>
  <c r="P1271" i="45"/>
  <c r="Q1271" i="45"/>
  <c r="A1272" i="45"/>
  <c r="B1272" i="45"/>
  <c r="N1272" i="45"/>
  <c r="O1272" i="45"/>
  <c r="P1272" i="45"/>
  <c r="Q1272" i="45"/>
  <c r="A1273" i="45"/>
  <c r="B1273" i="45"/>
  <c r="N1273" i="45"/>
  <c r="O1273" i="45"/>
  <c r="P1273" i="45"/>
  <c r="Q1273" i="45"/>
  <c r="A1274" i="45"/>
  <c r="B1274" i="45"/>
  <c r="N1274" i="45"/>
  <c r="O1274" i="45"/>
  <c r="P1274" i="45"/>
  <c r="Q1274" i="45"/>
  <c r="A1275" i="45"/>
  <c r="B1275" i="45"/>
  <c r="N1275" i="45"/>
  <c r="O1275" i="45"/>
  <c r="P1275" i="45"/>
  <c r="Q1275" i="45"/>
  <c r="A1276" i="45"/>
  <c r="B1276" i="45"/>
  <c r="N1276" i="45"/>
  <c r="O1276" i="45"/>
  <c r="P1276" i="45"/>
  <c r="Q1276" i="45"/>
  <c r="A1277" i="45"/>
  <c r="B1277" i="45"/>
  <c r="N1277" i="45"/>
  <c r="O1277" i="45"/>
  <c r="P1277" i="45"/>
  <c r="Q1277" i="45"/>
  <c r="A1278" i="45"/>
  <c r="B1278" i="45"/>
  <c r="N1278" i="45"/>
  <c r="O1278" i="45"/>
  <c r="P1278" i="45"/>
  <c r="Q1278" i="45"/>
  <c r="A1279" i="45"/>
  <c r="B1279" i="45"/>
  <c r="N1279" i="45"/>
  <c r="O1279" i="45"/>
  <c r="P1279" i="45"/>
  <c r="Q1279" i="45"/>
  <c r="A1280" i="45"/>
  <c r="B1280" i="45"/>
  <c r="N1280" i="45"/>
  <c r="O1280" i="45"/>
  <c r="P1280" i="45"/>
  <c r="Q1280" i="45"/>
  <c r="A1281" i="45"/>
  <c r="B1281" i="45"/>
  <c r="N1281" i="45"/>
  <c r="O1281" i="45"/>
  <c r="P1281" i="45"/>
  <c r="Q1281" i="45"/>
  <c r="A1282" i="45"/>
  <c r="B1282" i="45"/>
  <c r="N1282" i="45"/>
  <c r="O1282" i="45"/>
  <c r="P1282" i="45"/>
  <c r="Q1282" i="45"/>
  <c r="A1283" i="45"/>
  <c r="B1283" i="45"/>
  <c r="N1283" i="45"/>
  <c r="O1283" i="45"/>
  <c r="P1283" i="45"/>
  <c r="Q1283" i="45"/>
  <c r="A1284" i="45"/>
  <c r="B1284" i="45"/>
  <c r="N1284" i="45"/>
  <c r="O1284" i="45"/>
  <c r="P1284" i="45"/>
  <c r="Q1284" i="45"/>
  <c r="A1285" i="45"/>
  <c r="B1285" i="45"/>
  <c r="N1285" i="45"/>
  <c r="O1285" i="45"/>
  <c r="P1285" i="45"/>
  <c r="Q1285" i="45"/>
  <c r="A1286" i="45"/>
  <c r="B1286" i="45"/>
  <c r="N1286" i="45"/>
  <c r="O1286" i="45"/>
  <c r="P1286" i="45"/>
  <c r="Q1286" i="45"/>
  <c r="A1287" i="45"/>
  <c r="B1287" i="45"/>
  <c r="N1287" i="45"/>
  <c r="O1287" i="45"/>
  <c r="P1287" i="45"/>
  <c r="Q1287" i="45"/>
  <c r="A1288" i="45"/>
  <c r="B1288" i="45"/>
  <c r="N1288" i="45"/>
  <c r="O1288" i="45"/>
  <c r="P1288" i="45"/>
  <c r="Q1288" i="45"/>
  <c r="A1289" i="45"/>
  <c r="B1289" i="45"/>
  <c r="N1289" i="45"/>
  <c r="O1289" i="45"/>
  <c r="P1289" i="45"/>
  <c r="Q1289" i="45"/>
  <c r="A1290" i="45"/>
  <c r="B1290" i="45"/>
  <c r="N1290" i="45"/>
  <c r="O1290" i="45"/>
  <c r="P1290" i="45"/>
  <c r="Q1290" i="45"/>
  <c r="A1291" i="45"/>
  <c r="B1291" i="45"/>
  <c r="N1291" i="45"/>
  <c r="O1291" i="45"/>
  <c r="P1291" i="45"/>
  <c r="Q1291" i="45"/>
  <c r="A1292" i="45"/>
  <c r="B1292" i="45"/>
  <c r="N1292" i="45"/>
  <c r="O1292" i="45"/>
  <c r="P1292" i="45"/>
  <c r="Q1292" i="45"/>
  <c r="A1293" i="45"/>
  <c r="B1293" i="45"/>
  <c r="N1293" i="45"/>
  <c r="O1293" i="45"/>
  <c r="P1293" i="45"/>
  <c r="Q1293" i="45"/>
  <c r="A1294" i="45"/>
  <c r="B1294" i="45"/>
  <c r="N1294" i="45"/>
  <c r="O1294" i="45"/>
  <c r="P1294" i="45"/>
  <c r="Q1294" i="45"/>
  <c r="A1295" i="45"/>
  <c r="B1295" i="45"/>
  <c r="N1295" i="45"/>
  <c r="O1295" i="45"/>
  <c r="P1295" i="45"/>
  <c r="Q1295" i="45"/>
  <c r="A1296" i="45"/>
  <c r="B1296" i="45"/>
  <c r="N1296" i="45"/>
  <c r="O1296" i="45"/>
  <c r="P1296" i="45"/>
  <c r="Q1296" i="45"/>
  <c r="A1297" i="45"/>
  <c r="B1297" i="45"/>
  <c r="N1297" i="45"/>
  <c r="O1297" i="45"/>
  <c r="P1297" i="45"/>
  <c r="Q1297" i="45"/>
  <c r="A1298" i="45"/>
  <c r="B1298" i="45"/>
  <c r="N1298" i="45"/>
  <c r="O1298" i="45"/>
  <c r="P1298" i="45"/>
  <c r="Q1298" i="45"/>
  <c r="A1299" i="45"/>
  <c r="B1299" i="45"/>
  <c r="N1299" i="45"/>
  <c r="O1299" i="45"/>
  <c r="P1299" i="45"/>
  <c r="Q1299" i="45"/>
  <c r="A1300" i="45"/>
  <c r="B1300" i="45"/>
  <c r="N1300" i="45"/>
  <c r="O1300" i="45"/>
  <c r="P1300" i="45"/>
  <c r="Q1300" i="45"/>
  <c r="A1301" i="45"/>
  <c r="B1301" i="45"/>
  <c r="N1301" i="45"/>
  <c r="O1301" i="45"/>
  <c r="P1301" i="45"/>
  <c r="Q1301" i="45"/>
  <c r="A1302" i="45"/>
  <c r="B1302" i="45"/>
  <c r="N1302" i="45"/>
  <c r="O1302" i="45"/>
  <c r="P1302" i="45"/>
  <c r="Q1302" i="45"/>
  <c r="A1303" i="45"/>
  <c r="B1303" i="45"/>
  <c r="N1303" i="45"/>
  <c r="O1303" i="45"/>
  <c r="P1303" i="45"/>
  <c r="Q1303" i="45"/>
  <c r="A1304" i="45"/>
  <c r="B1304" i="45"/>
  <c r="N1304" i="45"/>
  <c r="O1304" i="45"/>
  <c r="P1304" i="45"/>
  <c r="Q1304" i="45"/>
  <c r="A1305" i="45"/>
  <c r="B1305" i="45"/>
  <c r="N1305" i="45"/>
  <c r="O1305" i="45"/>
  <c r="P1305" i="45"/>
  <c r="Q1305" i="45"/>
  <c r="A1306" i="45"/>
  <c r="B1306" i="45"/>
  <c r="N1306" i="45"/>
  <c r="O1306" i="45"/>
  <c r="P1306" i="45"/>
  <c r="Q1306" i="45"/>
  <c r="A1307" i="45"/>
  <c r="B1307" i="45"/>
  <c r="N1307" i="45"/>
  <c r="O1307" i="45"/>
  <c r="P1307" i="45"/>
  <c r="Q1307" i="45"/>
  <c r="A1308" i="45"/>
  <c r="B1308" i="45"/>
  <c r="N1308" i="45"/>
  <c r="O1308" i="45"/>
  <c r="P1308" i="45"/>
  <c r="Q1308" i="45"/>
  <c r="A1309" i="45"/>
  <c r="B1309" i="45"/>
  <c r="N1309" i="45"/>
  <c r="O1309" i="45"/>
  <c r="P1309" i="45"/>
  <c r="Q1309" i="45"/>
  <c r="A1310" i="45"/>
  <c r="B1310" i="45"/>
  <c r="N1310" i="45"/>
  <c r="O1310" i="45"/>
  <c r="P1310" i="45"/>
  <c r="Q1310" i="45"/>
  <c r="A1311" i="45"/>
  <c r="B1311" i="45"/>
  <c r="N1311" i="45"/>
  <c r="O1311" i="45"/>
  <c r="P1311" i="45"/>
  <c r="Q1311" i="45"/>
  <c r="A1312" i="45"/>
  <c r="B1312" i="45"/>
  <c r="N1312" i="45"/>
  <c r="O1312" i="45"/>
  <c r="P1312" i="45"/>
  <c r="Q1312" i="45"/>
  <c r="A1313" i="45"/>
  <c r="B1313" i="45"/>
  <c r="N1313" i="45"/>
  <c r="O1313" i="45"/>
  <c r="P1313" i="45"/>
  <c r="Q1313" i="45"/>
  <c r="A1314" i="45"/>
  <c r="B1314" i="45"/>
  <c r="N1314" i="45"/>
  <c r="O1314" i="45"/>
  <c r="P1314" i="45"/>
  <c r="Q1314" i="45"/>
  <c r="A1315" i="45"/>
  <c r="B1315" i="45"/>
  <c r="N1315" i="45"/>
  <c r="O1315" i="45"/>
  <c r="P1315" i="45"/>
  <c r="Q1315" i="45"/>
  <c r="A1316" i="45"/>
  <c r="B1316" i="45"/>
  <c r="N1316" i="45"/>
  <c r="O1316" i="45"/>
  <c r="P1316" i="45"/>
  <c r="Q1316" i="45"/>
  <c r="A1317" i="45"/>
  <c r="B1317" i="45"/>
  <c r="N1317" i="45"/>
  <c r="O1317" i="45"/>
  <c r="P1317" i="45"/>
  <c r="Q1317" i="45"/>
  <c r="A1318" i="45"/>
  <c r="B1318" i="45"/>
  <c r="N1318" i="45"/>
  <c r="O1318" i="45"/>
  <c r="P1318" i="45"/>
  <c r="Q1318" i="45"/>
  <c r="A1319" i="45"/>
  <c r="B1319" i="45"/>
  <c r="N1319" i="45"/>
  <c r="O1319" i="45"/>
  <c r="P1319" i="45"/>
  <c r="Q1319" i="45"/>
  <c r="A1320" i="45"/>
  <c r="B1320" i="45"/>
  <c r="N1320" i="45"/>
  <c r="O1320" i="45"/>
  <c r="P1320" i="45"/>
  <c r="Q1320" i="45"/>
  <c r="A1321" i="45"/>
  <c r="B1321" i="45"/>
  <c r="N1321" i="45"/>
  <c r="O1321" i="45"/>
  <c r="P1321" i="45"/>
  <c r="Q1321" i="45"/>
  <c r="A1322" i="45"/>
  <c r="B1322" i="45"/>
  <c r="N1322" i="45"/>
  <c r="O1322" i="45"/>
  <c r="P1322" i="45"/>
  <c r="Q1322" i="45"/>
  <c r="A1323" i="45"/>
  <c r="B1323" i="45"/>
  <c r="N1323" i="45"/>
  <c r="O1323" i="45"/>
  <c r="P1323" i="45"/>
  <c r="Q1323" i="45"/>
  <c r="A1324" i="45"/>
  <c r="B1324" i="45"/>
  <c r="N1324" i="45"/>
  <c r="O1324" i="45"/>
  <c r="P1324" i="45"/>
  <c r="Q1324" i="45"/>
  <c r="A1325" i="45"/>
  <c r="B1325" i="45"/>
  <c r="N1325" i="45"/>
  <c r="O1325" i="45"/>
  <c r="P1325" i="45"/>
  <c r="Q1325" i="45"/>
  <c r="A1326" i="45"/>
  <c r="B1326" i="45"/>
  <c r="N1326" i="45"/>
  <c r="O1326" i="45"/>
  <c r="P1326" i="45"/>
  <c r="Q1326" i="45"/>
  <c r="A1327" i="45"/>
  <c r="B1327" i="45"/>
  <c r="N1327" i="45"/>
  <c r="O1327" i="45"/>
  <c r="P1327" i="45"/>
  <c r="Q1327" i="45"/>
  <c r="A1328" i="45"/>
  <c r="B1328" i="45"/>
  <c r="N1328" i="45"/>
  <c r="O1328" i="45"/>
  <c r="P1328" i="45"/>
  <c r="Q1328" i="45"/>
  <c r="A1329" i="45"/>
  <c r="B1329" i="45"/>
  <c r="N1329" i="45"/>
  <c r="O1329" i="45"/>
  <c r="P1329" i="45"/>
  <c r="Q1329" i="45"/>
  <c r="A1330" i="45"/>
  <c r="B1330" i="45"/>
  <c r="N1330" i="45"/>
  <c r="O1330" i="45"/>
  <c r="P1330" i="45"/>
  <c r="Q1330" i="45"/>
  <c r="A1331" i="45"/>
  <c r="B1331" i="45"/>
  <c r="N1331" i="45"/>
  <c r="O1331" i="45"/>
  <c r="P1331" i="45"/>
  <c r="Q1331" i="45"/>
  <c r="A1332" i="45"/>
  <c r="B1332" i="45"/>
  <c r="N1332" i="45"/>
  <c r="O1332" i="45"/>
  <c r="P1332" i="45"/>
  <c r="Q1332" i="45"/>
  <c r="A1333" i="45"/>
  <c r="B1333" i="45"/>
  <c r="N1333" i="45"/>
  <c r="O1333" i="45"/>
  <c r="P1333" i="45"/>
  <c r="Q1333" i="45"/>
  <c r="A1334" i="45"/>
  <c r="B1334" i="45"/>
  <c r="N1334" i="45"/>
  <c r="O1334" i="45"/>
  <c r="P1334" i="45"/>
  <c r="Q1334" i="45"/>
  <c r="A1335" i="45"/>
  <c r="B1335" i="45"/>
  <c r="N1335" i="45"/>
  <c r="O1335" i="45"/>
  <c r="P1335" i="45"/>
  <c r="Q1335" i="45"/>
  <c r="A1336" i="45"/>
  <c r="B1336" i="45"/>
  <c r="N1336" i="45"/>
  <c r="O1336" i="45"/>
  <c r="P1336" i="45"/>
  <c r="Q1336" i="45"/>
  <c r="A1337" i="45"/>
  <c r="B1337" i="45"/>
  <c r="N1337" i="45"/>
  <c r="O1337" i="45"/>
  <c r="P1337" i="45"/>
  <c r="Q1337" i="45"/>
  <c r="A1338" i="45"/>
  <c r="B1338" i="45"/>
  <c r="N1338" i="45"/>
  <c r="O1338" i="45"/>
  <c r="P1338" i="45"/>
  <c r="Q1338" i="45"/>
  <c r="A1339" i="45"/>
  <c r="B1339" i="45"/>
  <c r="N1339" i="45"/>
  <c r="O1339" i="45"/>
  <c r="P1339" i="45"/>
  <c r="Q1339" i="45"/>
  <c r="A1340" i="45"/>
  <c r="B1340" i="45"/>
  <c r="N1340" i="45"/>
  <c r="O1340" i="45"/>
  <c r="P1340" i="45"/>
  <c r="Q1340" i="45"/>
  <c r="A1341" i="45"/>
  <c r="B1341" i="45"/>
  <c r="N1341" i="45"/>
  <c r="O1341" i="45"/>
  <c r="P1341" i="45"/>
  <c r="Q1341" i="45"/>
  <c r="A1342" i="45"/>
  <c r="B1342" i="45"/>
  <c r="N1342" i="45"/>
  <c r="O1342" i="45"/>
  <c r="P1342" i="45"/>
  <c r="Q1342" i="45"/>
  <c r="A1343" i="45"/>
  <c r="B1343" i="45"/>
  <c r="N1343" i="45"/>
  <c r="O1343" i="45"/>
  <c r="P1343" i="45"/>
  <c r="Q1343" i="45"/>
  <c r="A1344" i="45"/>
  <c r="B1344" i="45"/>
  <c r="N1344" i="45"/>
  <c r="O1344" i="45"/>
  <c r="P1344" i="45"/>
  <c r="Q1344" i="45"/>
  <c r="A1345" i="45"/>
  <c r="B1345" i="45"/>
  <c r="N1345" i="45"/>
  <c r="O1345" i="45"/>
  <c r="P1345" i="45"/>
  <c r="Q1345" i="45"/>
  <c r="A1346" i="45"/>
  <c r="B1346" i="45"/>
  <c r="N1346" i="45"/>
  <c r="O1346" i="45"/>
  <c r="P1346" i="45"/>
  <c r="Q1346" i="45"/>
  <c r="A1347" i="45"/>
  <c r="B1347" i="45"/>
  <c r="N1347" i="45"/>
  <c r="O1347" i="45"/>
  <c r="P1347" i="45"/>
  <c r="Q1347" i="45"/>
  <c r="A1348" i="45"/>
  <c r="B1348" i="45"/>
  <c r="N1348" i="45"/>
  <c r="O1348" i="45"/>
  <c r="P1348" i="45"/>
  <c r="Q1348" i="45"/>
  <c r="A1349" i="45"/>
  <c r="B1349" i="45"/>
  <c r="N1349" i="45"/>
  <c r="O1349" i="45"/>
  <c r="P1349" i="45"/>
  <c r="Q1349" i="45"/>
  <c r="A1350" i="45"/>
  <c r="B1350" i="45"/>
  <c r="N1350" i="45"/>
  <c r="O1350" i="45"/>
  <c r="P1350" i="45"/>
  <c r="Q1350" i="45"/>
  <c r="A1351" i="45"/>
  <c r="B1351" i="45"/>
  <c r="N1351" i="45"/>
  <c r="O1351" i="45"/>
  <c r="P1351" i="45"/>
  <c r="Q1351" i="45"/>
  <c r="A1352" i="45"/>
  <c r="B1352" i="45"/>
  <c r="N1352" i="45"/>
  <c r="O1352" i="45"/>
  <c r="P1352" i="45"/>
  <c r="Q1352" i="45"/>
  <c r="A1353" i="45"/>
  <c r="B1353" i="45"/>
  <c r="N1353" i="45"/>
  <c r="O1353" i="45"/>
  <c r="P1353" i="45"/>
  <c r="Q1353" i="45"/>
  <c r="A1354" i="45"/>
  <c r="B1354" i="45"/>
  <c r="N1354" i="45"/>
  <c r="O1354" i="45"/>
  <c r="P1354" i="45"/>
  <c r="Q1354" i="45"/>
  <c r="A1355" i="45"/>
  <c r="B1355" i="45"/>
  <c r="N1355" i="45"/>
  <c r="O1355" i="45"/>
  <c r="P1355" i="45"/>
  <c r="Q1355" i="45"/>
  <c r="A1356" i="45"/>
  <c r="B1356" i="45"/>
  <c r="N1356" i="45"/>
  <c r="O1356" i="45"/>
  <c r="P1356" i="45"/>
  <c r="Q1356" i="45"/>
  <c r="A1357" i="45"/>
  <c r="B1357" i="45"/>
  <c r="N1357" i="45"/>
  <c r="O1357" i="45"/>
  <c r="P1357" i="45"/>
  <c r="Q1357" i="45"/>
  <c r="A1358" i="45"/>
  <c r="B1358" i="45"/>
  <c r="N1358" i="45"/>
  <c r="O1358" i="45"/>
  <c r="P1358" i="45"/>
  <c r="Q1358" i="45"/>
  <c r="A1359" i="45"/>
  <c r="B1359" i="45"/>
  <c r="N1359" i="45"/>
  <c r="O1359" i="45"/>
  <c r="P1359" i="45"/>
  <c r="Q1359" i="45"/>
  <c r="A1360" i="45"/>
  <c r="B1360" i="45"/>
  <c r="N1360" i="45"/>
  <c r="O1360" i="45"/>
  <c r="P1360" i="45"/>
  <c r="Q1360" i="45"/>
  <c r="A1361" i="45"/>
  <c r="B1361" i="45"/>
  <c r="N1361" i="45"/>
  <c r="O1361" i="45"/>
  <c r="P1361" i="45"/>
  <c r="Q1361" i="45"/>
  <c r="A1362" i="45"/>
  <c r="B1362" i="45"/>
  <c r="N1362" i="45"/>
  <c r="O1362" i="45"/>
  <c r="P1362" i="45"/>
  <c r="Q1362" i="45"/>
  <c r="A1363" i="45"/>
  <c r="B1363" i="45"/>
  <c r="N1363" i="45"/>
  <c r="O1363" i="45"/>
  <c r="P1363" i="45"/>
  <c r="Q1363" i="45"/>
  <c r="A1364" i="45"/>
  <c r="B1364" i="45"/>
  <c r="N1364" i="45"/>
  <c r="O1364" i="45"/>
  <c r="P1364" i="45"/>
  <c r="Q1364" i="45"/>
  <c r="A1365" i="45"/>
  <c r="B1365" i="45"/>
  <c r="N1365" i="45"/>
  <c r="O1365" i="45"/>
  <c r="P1365" i="45"/>
  <c r="Q1365" i="45"/>
  <c r="A1366" i="45"/>
  <c r="B1366" i="45"/>
  <c r="N1366" i="45"/>
  <c r="O1366" i="45"/>
  <c r="P1366" i="45"/>
  <c r="Q1366" i="45"/>
  <c r="A1367" i="45"/>
  <c r="B1367" i="45"/>
  <c r="N1367" i="45"/>
  <c r="O1367" i="45"/>
  <c r="P1367" i="45"/>
  <c r="Q1367" i="45"/>
  <c r="A1368" i="45"/>
  <c r="B1368" i="45"/>
  <c r="N1368" i="45"/>
  <c r="O1368" i="45"/>
  <c r="P1368" i="45"/>
  <c r="Q1368" i="45"/>
  <c r="A1369" i="45"/>
  <c r="B1369" i="45"/>
  <c r="N1369" i="45"/>
  <c r="O1369" i="45"/>
  <c r="P1369" i="45"/>
  <c r="Q1369" i="45"/>
  <c r="A1370" i="45"/>
  <c r="B1370" i="45"/>
  <c r="N1370" i="45"/>
  <c r="O1370" i="45"/>
  <c r="P1370" i="45"/>
  <c r="Q1370" i="45"/>
  <c r="A1371" i="45"/>
  <c r="B1371" i="45"/>
  <c r="N1371" i="45"/>
  <c r="O1371" i="45"/>
  <c r="P1371" i="45"/>
  <c r="Q1371" i="45"/>
  <c r="A1372" i="45"/>
  <c r="B1372" i="45"/>
  <c r="N1372" i="45"/>
  <c r="O1372" i="45"/>
  <c r="P1372" i="45"/>
  <c r="Q1372" i="45"/>
  <c r="A1373" i="45"/>
  <c r="B1373" i="45"/>
  <c r="N1373" i="45"/>
  <c r="O1373" i="45"/>
  <c r="P1373" i="45"/>
  <c r="Q1373" i="45"/>
  <c r="A1374" i="45"/>
  <c r="B1374" i="45"/>
  <c r="N1374" i="45"/>
  <c r="O1374" i="45"/>
  <c r="P1374" i="45"/>
  <c r="Q1374" i="45"/>
  <c r="A1375" i="45"/>
  <c r="B1375" i="45"/>
  <c r="N1375" i="45"/>
  <c r="O1375" i="45"/>
  <c r="P1375" i="45"/>
  <c r="Q1375" i="45"/>
  <c r="A1376" i="45"/>
  <c r="B1376" i="45"/>
  <c r="N1376" i="45"/>
  <c r="O1376" i="45"/>
  <c r="P1376" i="45"/>
  <c r="Q1376" i="45"/>
  <c r="A1377" i="45"/>
  <c r="B1377" i="45"/>
  <c r="N1377" i="45"/>
  <c r="O1377" i="45"/>
  <c r="P1377" i="45"/>
  <c r="Q1377" i="45"/>
  <c r="A1378" i="45"/>
  <c r="B1378" i="45"/>
  <c r="N1378" i="45"/>
  <c r="O1378" i="45"/>
  <c r="P1378" i="45"/>
  <c r="Q1378" i="45"/>
  <c r="A1379" i="45"/>
  <c r="B1379" i="45"/>
  <c r="N1379" i="45"/>
  <c r="O1379" i="45"/>
  <c r="P1379" i="45"/>
  <c r="Q1379" i="45"/>
  <c r="A1380" i="45"/>
  <c r="B1380" i="45"/>
  <c r="N1380" i="45"/>
  <c r="O1380" i="45"/>
  <c r="P1380" i="45"/>
  <c r="Q1380" i="45"/>
  <c r="A1381" i="45"/>
  <c r="B1381" i="45"/>
  <c r="N1381" i="45"/>
  <c r="O1381" i="45"/>
  <c r="P1381" i="45"/>
  <c r="Q1381" i="45"/>
  <c r="A1382" i="45"/>
  <c r="B1382" i="45"/>
  <c r="N1382" i="45"/>
  <c r="O1382" i="45"/>
  <c r="P1382" i="45"/>
  <c r="Q1382" i="45"/>
  <c r="A1383" i="45"/>
  <c r="B1383" i="45"/>
  <c r="N1383" i="45"/>
  <c r="O1383" i="45"/>
  <c r="P1383" i="45"/>
  <c r="Q1383" i="45"/>
  <c r="A1384" i="45"/>
  <c r="B1384" i="45"/>
  <c r="N1384" i="45"/>
  <c r="O1384" i="45"/>
  <c r="P1384" i="45"/>
  <c r="Q1384" i="45"/>
  <c r="A1385" i="45"/>
  <c r="B1385" i="45"/>
  <c r="N1385" i="45"/>
  <c r="O1385" i="45"/>
  <c r="P1385" i="45"/>
  <c r="Q1385" i="45"/>
  <c r="A1386" i="45"/>
  <c r="B1386" i="45"/>
  <c r="N1386" i="45"/>
  <c r="O1386" i="45"/>
  <c r="P1386" i="45"/>
  <c r="Q1386" i="45"/>
  <c r="A1387" i="45"/>
  <c r="B1387" i="45"/>
  <c r="N1387" i="45"/>
  <c r="O1387" i="45"/>
  <c r="P1387" i="45"/>
  <c r="Q1387" i="45"/>
  <c r="A1388" i="45"/>
  <c r="B1388" i="45"/>
  <c r="N1388" i="45"/>
  <c r="O1388" i="45"/>
  <c r="P1388" i="45"/>
  <c r="Q1388" i="45"/>
  <c r="A1389" i="45"/>
  <c r="B1389" i="45"/>
  <c r="N1389" i="45"/>
  <c r="O1389" i="45"/>
  <c r="P1389" i="45"/>
  <c r="Q1389" i="45"/>
  <c r="A1390" i="45"/>
  <c r="B1390" i="45"/>
  <c r="N1390" i="45"/>
  <c r="O1390" i="45"/>
  <c r="P1390" i="45"/>
  <c r="Q1390" i="45"/>
  <c r="A1391" i="45"/>
  <c r="B1391" i="45"/>
  <c r="N1391" i="45"/>
  <c r="O1391" i="45"/>
  <c r="P1391" i="45"/>
  <c r="Q1391" i="45"/>
  <c r="A1392" i="45"/>
  <c r="B1392" i="45"/>
  <c r="N1392" i="45"/>
  <c r="O1392" i="45"/>
  <c r="P1392" i="45"/>
  <c r="Q1392" i="45"/>
  <c r="A1393" i="45"/>
  <c r="B1393" i="45"/>
  <c r="N1393" i="45"/>
  <c r="O1393" i="45"/>
  <c r="P1393" i="45"/>
  <c r="Q1393" i="45"/>
  <c r="A1394" i="45"/>
  <c r="B1394" i="45"/>
  <c r="N1394" i="45"/>
  <c r="O1394" i="45"/>
  <c r="P1394" i="45"/>
  <c r="Q1394" i="45"/>
  <c r="A1395" i="45"/>
  <c r="B1395" i="45"/>
  <c r="N1395" i="45"/>
  <c r="O1395" i="45"/>
  <c r="P1395" i="45"/>
  <c r="Q1395" i="45"/>
  <c r="A1396" i="45"/>
  <c r="B1396" i="45"/>
  <c r="N1396" i="45"/>
  <c r="O1396" i="45"/>
  <c r="P1396" i="45"/>
  <c r="Q1396" i="45"/>
  <c r="A1397" i="45"/>
  <c r="B1397" i="45"/>
  <c r="N1397" i="45"/>
  <c r="O1397" i="45"/>
  <c r="P1397" i="45"/>
  <c r="Q1397" i="45"/>
  <c r="A1398" i="45"/>
  <c r="B1398" i="45"/>
  <c r="N1398" i="45"/>
  <c r="O1398" i="45"/>
  <c r="P1398" i="45"/>
  <c r="Q1398" i="45"/>
  <c r="A1399" i="45"/>
  <c r="B1399" i="45"/>
  <c r="N1399" i="45"/>
  <c r="O1399" i="45"/>
  <c r="P1399" i="45"/>
  <c r="Q1399" i="45"/>
  <c r="A1400" i="45"/>
  <c r="B1400" i="45"/>
  <c r="N1400" i="45"/>
  <c r="O1400" i="45"/>
  <c r="P1400" i="45"/>
  <c r="Q1400" i="45"/>
  <c r="A1401" i="45"/>
  <c r="B1401" i="45"/>
  <c r="N1401" i="45"/>
  <c r="O1401" i="45"/>
  <c r="P1401" i="45"/>
  <c r="Q1401" i="45"/>
  <c r="A1402" i="45"/>
  <c r="B1402" i="45"/>
  <c r="N1402" i="45"/>
  <c r="O1402" i="45"/>
  <c r="P1402" i="45"/>
  <c r="Q1402" i="45"/>
  <c r="A1403" i="45"/>
  <c r="B1403" i="45"/>
  <c r="N1403" i="45"/>
  <c r="O1403" i="45"/>
  <c r="P1403" i="45"/>
  <c r="Q1403" i="45"/>
  <c r="A1404" i="45"/>
  <c r="B1404" i="45"/>
  <c r="N1404" i="45"/>
  <c r="O1404" i="45"/>
  <c r="P1404" i="45"/>
  <c r="Q1404" i="45"/>
  <c r="A1405" i="45"/>
  <c r="B1405" i="45"/>
  <c r="N1405" i="45"/>
  <c r="O1405" i="45"/>
  <c r="P1405" i="45"/>
  <c r="Q1405" i="45"/>
  <c r="A1406" i="45"/>
  <c r="B1406" i="45"/>
  <c r="N1406" i="45"/>
  <c r="O1406" i="45"/>
  <c r="P1406" i="45"/>
  <c r="Q1406" i="45"/>
  <c r="A1407" i="45"/>
  <c r="B1407" i="45"/>
  <c r="N1407" i="45"/>
  <c r="O1407" i="45"/>
  <c r="P1407" i="45"/>
  <c r="Q1407" i="45"/>
  <c r="A1408" i="45"/>
  <c r="B1408" i="45"/>
  <c r="N1408" i="45"/>
  <c r="O1408" i="45"/>
  <c r="P1408" i="45"/>
  <c r="Q1408" i="45"/>
  <c r="A1409" i="45"/>
  <c r="B1409" i="45"/>
  <c r="N1409" i="45"/>
  <c r="O1409" i="45"/>
  <c r="P1409" i="45"/>
  <c r="Q1409" i="45"/>
  <c r="A1410" i="45"/>
  <c r="B1410" i="45"/>
  <c r="N1410" i="45"/>
  <c r="O1410" i="45"/>
  <c r="P1410" i="45"/>
  <c r="Q1410" i="45"/>
  <c r="A1411" i="45"/>
  <c r="B1411" i="45"/>
  <c r="N1411" i="45"/>
  <c r="O1411" i="45"/>
  <c r="P1411" i="45"/>
  <c r="Q1411" i="45"/>
  <c r="A1412" i="45"/>
  <c r="B1412" i="45"/>
  <c r="N1412" i="45"/>
  <c r="O1412" i="45"/>
  <c r="P1412" i="45"/>
  <c r="Q1412" i="45"/>
  <c r="A1413" i="45"/>
  <c r="B1413" i="45"/>
  <c r="N1413" i="45"/>
  <c r="O1413" i="45"/>
  <c r="P1413" i="45"/>
  <c r="Q1413" i="45"/>
  <c r="A1414" i="45"/>
  <c r="B1414" i="45"/>
  <c r="N1414" i="45"/>
  <c r="O1414" i="45"/>
  <c r="P1414" i="45"/>
  <c r="Q1414" i="45"/>
  <c r="A1415" i="45"/>
  <c r="B1415" i="45"/>
  <c r="N1415" i="45"/>
  <c r="O1415" i="45"/>
  <c r="P1415" i="45"/>
  <c r="Q1415" i="45"/>
  <c r="A1416" i="45"/>
  <c r="B1416" i="45"/>
  <c r="N1416" i="45"/>
  <c r="O1416" i="45"/>
  <c r="P1416" i="45"/>
  <c r="Q1416" i="45"/>
  <c r="A1417" i="45"/>
  <c r="B1417" i="45"/>
  <c r="N1417" i="45"/>
  <c r="O1417" i="45"/>
  <c r="P1417" i="45"/>
  <c r="Q1417" i="45"/>
  <c r="A1418" i="45"/>
  <c r="B1418" i="45"/>
  <c r="N1418" i="45"/>
  <c r="O1418" i="45"/>
  <c r="P1418" i="45"/>
  <c r="Q1418" i="45"/>
  <c r="A1419" i="45"/>
  <c r="B1419" i="45"/>
  <c r="N1419" i="45"/>
  <c r="O1419" i="45"/>
  <c r="P1419" i="45"/>
  <c r="Q1419" i="45"/>
  <c r="A1420" i="45"/>
  <c r="B1420" i="45"/>
  <c r="N1420" i="45"/>
  <c r="O1420" i="45"/>
  <c r="P1420" i="45"/>
  <c r="Q1420" i="45"/>
  <c r="A1421" i="45"/>
  <c r="B1421" i="45"/>
  <c r="N1421" i="45"/>
  <c r="O1421" i="45"/>
  <c r="P1421" i="45"/>
  <c r="Q1421" i="45"/>
  <c r="A1422" i="45"/>
  <c r="B1422" i="45"/>
  <c r="N1422" i="45"/>
  <c r="O1422" i="45"/>
  <c r="P1422" i="45"/>
  <c r="Q1422" i="45"/>
  <c r="A1423" i="45"/>
  <c r="B1423" i="45"/>
  <c r="N1423" i="45"/>
  <c r="O1423" i="45"/>
  <c r="P1423" i="45"/>
  <c r="Q1423" i="45"/>
  <c r="A1424" i="45"/>
  <c r="B1424" i="45"/>
  <c r="N1424" i="45"/>
  <c r="O1424" i="45"/>
  <c r="P1424" i="45"/>
  <c r="Q1424" i="45"/>
  <c r="A1425" i="45"/>
  <c r="B1425" i="45"/>
  <c r="N1425" i="45"/>
  <c r="O1425" i="45"/>
  <c r="P1425" i="45"/>
  <c r="Q1425" i="45"/>
  <c r="A1426" i="45"/>
  <c r="B1426" i="45"/>
  <c r="N1426" i="45"/>
  <c r="O1426" i="45"/>
  <c r="P1426" i="45"/>
  <c r="Q1426" i="45"/>
  <c r="A1427" i="45"/>
  <c r="B1427" i="45"/>
  <c r="N1427" i="45"/>
  <c r="O1427" i="45"/>
  <c r="P1427" i="45"/>
  <c r="Q1427" i="45"/>
  <c r="A1428" i="45"/>
  <c r="B1428" i="45"/>
  <c r="N1428" i="45"/>
  <c r="O1428" i="45"/>
  <c r="P1428" i="45"/>
  <c r="Q1428" i="45"/>
  <c r="A1429" i="45"/>
  <c r="B1429" i="45"/>
  <c r="N1429" i="45"/>
  <c r="O1429" i="45"/>
  <c r="P1429" i="45"/>
  <c r="Q1429" i="45"/>
  <c r="A1430" i="45"/>
  <c r="B1430" i="45"/>
  <c r="N1430" i="45"/>
  <c r="O1430" i="45"/>
  <c r="P1430" i="45"/>
  <c r="Q1430" i="45"/>
  <c r="A1431" i="45"/>
  <c r="B1431" i="45"/>
  <c r="N1431" i="45"/>
  <c r="O1431" i="45"/>
  <c r="P1431" i="45"/>
  <c r="Q1431" i="45"/>
  <c r="A1432" i="45"/>
  <c r="B1432" i="45"/>
  <c r="N1432" i="45"/>
  <c r="O1432" i="45"/>
  <c r="P1432" i="45"/>
  <c r="Q1432" i="45"/>
  <c r="A1433" i="45"/>
  <c r="B1433" i="45"/>
  <c r="N1433" i="45"/>
  <c r="O1433" i="45"/>
  <c r="P1433" i="45"/>
  <c r="Q1433" i="45"/>
  <c r="A1434" i="45"/>
  <c r="B1434" i="45"/>
  <c r="N1434" i="45"/>
  <c r="O1434" i="45"/>
  <c r="P1434" i="45"/>
  <c r="Q1434" i="45"/>
  <c r="A1435" i="45"/>
  <c r="B1435" i="45"/>
  <c r="N1435" i="45"/>
  <c r="O1435" i="45"/>
  <c r="P1435" i="45"/>
  <c r="Q1435" i="45"/>
  <c r="A1436" i="45"/>
  <c r="B1436" i="45"/>
  <c r="N1436" i="45"/>
  <c r="O1436" i="45"/>
  <c r="P1436" i="45"/>
  <c r="Q1436" i="45"/>
  <c r="A1437" i="45"/>
  <c r="B1437" i="45"/>
  <c r="N1437" i="45"/>
  <c r="O1437" i="45"/>
  <c r="P1437" i="45"/>
  <c r="Q1437" i="45"/>
  <c r="A1438" i="45"/>
  <c r="B1438" i="45"/>
  <c r="N1438" i="45"/>
  <c r="O1438" i="45"/>
  <c r="P1438" i="45"/>
  <c r="Q1438" i="45"/>
  <c r="A1439" i="45"/>
  <c r="B1439" i="45"/>
  <c r="N1439" i="45"/>
  <c r="O1439" i="45"/>
  <c r="P1439" i="45"/>
  <c r="Q1439" i="45"/>
  <c r="A1440" i="45"/>
  <c r="B1440" i="45"/>
  <c r="N1440" i="45"/>
  <c r="O1440" i="45"/>
  <c r="P1440" i="45"/>
  <c r="Q1440" i="45"/>
  <c r="A1441" i="45"/>
  <c r="B1441" i="45"/>
  <c r="N1441" i="45"/>
  <c r="O1441" i="45"/>
  <c r="P1441" i="45"/>
  <c r="Q1441" i="45"/>
  <c r="A1442" i="45"/>
  <c r="B1442" i="45"/>
  <c r="N1442" i="45"/>
  <c r="O1442" i="45"/>
  <c r="P1442" i="45"/>
  <c r="Q1442" i="45"/>
  <c r="A1443" i="45"/>
  <c r="B1443" i="45"/>
  <c r="N1443" i="45"/>
  <c r="O1443" i="45"/>
  <c r="P1443" i="45"/>
  <c r="Q1443" i="45"/>
  <c r="A1444" i="45"/>
  <c r="B1444" i="45"/>
  <c r="N1444" i="45"/>
  <c r="O1444" i="45"/>
  <c r="P1444" i="45"/>
  <c r="Q1444" i="45"/>
  <c r="A1445" i="45"/>
  <c r="B1445" i="45"/>
  <c r="N1445" i="45"/>
  <c r="O1445" i="45"/>
  <c r="P1445" i="45"/>
  <c r="Q1445" i="45"/>
  <c r="A1446" i="45"/>
  <c r="B1446" i="45"/>
  <c r="N1446" i="45"/>
  <c r="O1446" i="45"/>
  <c r="P1446" i="45"/>
  <c r="Q1446" i="45"/>
  <c r="A1447" i="45"/>
  <c r="B1447" i="45"/>
  <c r="N1447" i="45"/>
  <c r="O1447" i="45"/>
  <c r="P1447" i="45"/>
  <c r="Q1447" i="45"/>
  <c r="A1448" i="45"/>
  <c r="B1448" i="45"/>
  <c r="N1448" i="45"/>
  <c r="O1448" i="45"/>
  <c r="P1448" i="45"/>
  <c r="Q1448" i="45"/>
  <c r="A1449" i="45"/>
  <c r="B1449" i="45"/>
  <c r="N1449" i="45"/>
  <c r="O1449" i="45"/>
  <c r="P1449" i="45"/>
  <c r="Q1449" i="45"/>
  <c r="A1450" i="45"/>
  <c r="B1450" i="45"/>
  <c r="N1450" i="45"/>
  <c r="O1450" i="45"/>
  <c r="P1450" i="45"/>
  <c r="Q1450" i="45"/>
  <c r="A1451" i="45"/>
  <c r="B1451" i="45"/>
  <c r="N1451" i="45"/>
  <c r="O1451" i="45"/>
  <c r="P1451" i="45"/>
  <c r="Q1451" i="45"/>
  <c r="A1452" i="45"/>
  <c r="B1452" i="45"/>
  <c r="N1452" i="45"/>
  <c r="O1452" i="45"/>
  <c r="P1452" i="45"/>
  <c r="Q1452" i="45"/>
  <c r="A1453" i="45"/>
  <c r="B1453" i="45"/>
  <c r="N1453" i="45"/>
  <c r="O1453" i="45"/>
  <c r="P1453" i="45"/>
  <c r="Q1453" i="45"/>
  <c r="A1454" i="45"/>
  <c r="B1454" i="45"/>
  <c r="N1454" i="45"/>
  <c r="O1454" i="45"/>
  <c r="P1454" i="45"/>
  <c r="Q1454" i="45"/>
  <c r="A1455" i="45"/>
  <c r="B1455" i="45"/>
  <c r="N1455" i="45"/>
  <c r="O1455" i="45"/>
  <c r="P1455" i="45"/>
  <c r="Q1455" i="45"/>
  <c r="A1456" i="45"/>
  <c r="B1456" i="45"/>
  <c r="N1456" i="45"/>
  <c r="O1456" i="45"/>
  <c r="P1456" i="45"/>
  <c r="Q1456" i="45"/>
  <c r="A1457" i="45"/>
  <c r="B1457" i="45"/>
  <c r="N1457" i="45"/>
  <c r="O1457" i="45"/>
  <c r="P1457" i="45"/>
  <c r="Q1457" i="45"/>
  <c r="A1458" i="45"/>
  <c r="B1458" i="45"/>
  <c r="N1458" i="45"/>
  <c r="O1458" i="45"/>
  <c r="P1458" i="45"/>
  <c r="Q1458" i="45"/>
  <c r="A1459" i="45"/>
  <c r="B1459" i="45"/>
  <c r="N1459" i="45"/>
  <c r="O1459" i="45"/>
  <c r="P1459" i="45"/>
  <c r="Q1459" i="45"/>
  <c r="A1460" i="45"/>
  <c r="B1460" i="45"/>
  <c r="N1460" i="45"/>
  <c r="O1460" i="45"/>
  <c r="P1460" i="45"/>
  <c r="Q1460" i="45"/>
  <c r="A1461" i="45"/>
  <c r="B1461" i="45"/>
  <c r="N1461" i="45"/>
  <c r="O1461" i="45"/>
  <c r="P1461" i="45"/>
  <c r="Q1461" i="45"/>
  <c r="A1462" i="45"/>
  <c r="B1462" i="45"/>
  <c r="N1462" i="45"/>
  <c r="O1462" i="45"/>
  <c r="P1462" i="45"/>
  <c r="Q1462" i="45"/>
  <c r="A1463" i="45"/>
  <c r="B1463" i="45"/>
  <c r="N1463" i="45"/>
  <c r="O1463" i="45"/>
  <c r="P1463" i="45"/>
  <c r="Q1463" i="45"/>
  <c r="A1464" i="45"/>
  <c r="B1464" i="45"/>
  <c r="N1464" i="45"/>
  <c r="O1464" i="45"/>
  <c r="P1464" i="45"/>
  <c r="Q1464" i="45"/>
  <c r="A1465" i="45"/>
  <c r="B1465" i="45"/>
  <c r="N1465" i="45"/>
  <c r="O1465" i="45"/>
  <c r="P1465" i="45"/>
  <c r="Q1465" i="45"/>
  <c r="A1466" i="45"/>
  <c r="B1466" i="45"/>
  <c r="N1466" i="45"/>
  <c r="O1466" i="45"/>
  <c r="P1466" i="45"/>
  <c r="Q1466" i="45"/>
  <c r="A1467" i="45"/>
  <c r="B1467" i="45"/>
  <c r="N1467" i="45"/>
  <c r="O1467" i="45"/>
  <c r="P1467" i="45"/>
  <c r="Q1467" i="45"/>
  <c r="A1468" i="45"/>
  <c r="B1468" i="45"/>
  <c r="N1468" i="45"/>
  <c r="O1468" i="45"/>
  <c r="P1468" i="45"/>
  <c r="Q1468" i="45"/>
  <c r="A1469" i="45"/>
  <c r="B1469" i="45"/>
  <c r="N1469" i="45"/>
  <c r="O1469" i="45"/>
  <c r="P1469" i="45"/>
  <c r="Q1469" i="45"/>
  <c r="A1470" i="45"/>
  <c r="B1470" i="45"/>
  <c r="N1470" i="45"/>
  <c r="O1470" i="45"/>
  <c r="P1470" i="45"/>
  <c r="Q1470" i="45"/>
  <c r="A1471" i="45"/>
  <c r="B1471" i="45"/>
  <c r="N1471" i="45"/>
  <c r="O1471" i="45"/>
  <c r="P1471" i="45"/>
  <c r="Q1471" i="45"/>
  <c r="A1472" i="45"/>
  <c r="B1472" i="45"/>
  <c r="N1472" i="45"/>
  <c r="O1472" i="45"/>
  <c r="P1472" i="45"/>
  <c r="Q1472" i="45"/>
  <c r="A1473" i="45"/>
  <c r="B1473" i="45"/>
  <c r="N1473" i="45"/>
  <c r="O1473" i="45"/>
  <c r="P1473" i="45"/>
  <c r="Q1473" i="45"/>
  <c r="A1474" i="45"/>
  <c r="B1474" i="45"/>
  <c r="N1474" i="45"/>
  <c r="O1474" i="45"/>
  <c r="P1474" i="45"/>
  <c r="Q1474" i="45"/>
  <c r="A1475" i="45"/>
  <c r="B1475" i="45"/>
  <c r="N1475" i="45"/>
  <c r="O1475" i="45"/>
  <c r="P1475" i="45"/>
  <c r="Q1475" i="45"/>
  <c r="A1476" i="45"/>
  <c r="B1476" i="45"/>
  <c r="N1476" i="45"/>
  <c r="O1476" i="45"/>
  <c r="P1476" i="45"/>
  <c r="Q1476" i="45"/>
  <c r="A1477" i="45"/>
  <c r="B1477" i="45"/>
  <c r="N1477" i="45"/>
  <c r="O1477" i="45"/>
  <c r="P1477" i="45"/>
  <c r="Q1477" i="45"/>
  <c r="A1478" i="45"/>
  <c r="B1478" i="45"/>
  <c r="N1478" i="45"/>
  <c r="O1478" i="45"/>
  <c r="P1478" i="45"/>
  <c r="Q1478" i="45"/>
  <c r="A1479" i="45"/>
  <c r="B1479" i="45"/>
  <c r="N1479" i="45"/>
  <c r="O1479" i="45"/>
  <c r="P1479" i="45"/>
  <c r="Q1479" i="45"/>
  <c r="A1480" i="45"/>
  <c r="B1480" i="45"/>
  <c r="N1480" i="45"/>
  <c r="O1480" i="45"/>
  <c r="P1480" i="45"/>
  <c r="Q1480" i="45"/>
  <c r="A1481" i="45"/>
  <c r="B1481" i="45"/>
  <c r="N1481" i="45"/>
  <c r="O1481" i="45"/>
  <c r="P1481" i="45"/>
  <c r="Q1481" i="45"/>
  <c r="A1482" i="45"/>
  <c r="B1482" i="45"/>
  <c r="N1482" i="45"/>
  <c r="O1482" i="45"/>
  <c r="P1482" i="45"/>
  <c r="Q1482" i="45"/>
  <c r="A1483" i="45"/>
  <c r="B1483" i="45"/>
  <c r="N1483" i="45"/>
  <c r="O1483" i="45"/>
  <c r="P1483" i="45"/>
  <c r="Q1483" i="45"/>
  <c r="A1484" i="45"/>
  <c r="B1484" i="45"/>
  <c r="N1484" i="45"/>
  <c r="O1484" i="45"/>
  <c r="P1484" i="45"/>
  <c r="Q1484" i="45"/>
  <c r="A1485" i="45"/>
  <c r="B1485" i="45"/>
  <c r="N1485" i="45"/>
  <c r="O1485" i="45"/>
  <c r="P1485" i="45"/>
  <c r="Q1485" i="45"/>
  <c r="A1486" i="45"/>
  <c r="B1486" i="45"/>
  <c r="N1486" i="45"/>
  <c r="O1486" i="45"/>
  <c r="P1486" i="45"/>
  <c r="Q1486" i="45"/>
  <c r="A1487" i="45"/>
  <c r="B1487" i="45"/>
  <c r="N1487" i="45"/>
  <c r="O1487" i="45"/>
  <c r="P1487" i="45"/>
  <c r="Q1487" i="45"/>
  <c r="A1488" i="45"/>
  <c r="B1488" i="45"/>
  <c r="N1488" i="45"/>
  <c r="O1488" i="45"/>
  <c r="P1488" i="45"/>
  <c r="Q1488" i="45"/>
  <c r="A1489" i="45"/>
  <c r="B1489" i="45"/>
  <c r="N1489" i="45"/>
  <c r="O1489" i="45"/>
  <c r="P1489" i="45"/>
  <c r="Q1489" i="45"/>
  <c r="A1490" i="45"/>
  <c r="B1490" i="45"/>
  <c r="N1490" i="45"/>
  <c r="O1490" i="45"/>
  <c r="P1490" i="45"/>
  <c r="Q1490" i="45"/>
  <c r="A1491" i="45"/>
  <c r="B1491" i="45"/>
  <c r="N1491" i="45"/>
  <c r="O1491" i="45"/>
  <c r="P1491" i="45"/>
  <c r="Q1491" i="45"/>
  <c r="A1492" i="45"/>
  <c r="B1492" i="45"/>
  <c r="N1492" i="45"/>
  <c r="O1492" i="45"/>
  <c r="P1492" i="45"/>
  <c r="Q1492" i="45"/>
  <c r="A1493" i="45"/>
  <c r="B1493" i="45"/>
  <c r="N1493" i="45"/>
  <c r="O1493" i="45"/>
  <c r="P1493" i="45"/>
  <c r="Q1493" i="45"/>
  <c r="A1494" i="45"/>
  <c r="B1494" i="45"/>
  <c r="N1494" i="45"/>
  <c r="O1494" i="45"/>
  <c r="P1494" i="45"/>
  <c r="Q1494" i="45"/>
  <c r="A1495" i="45"/>
  <c r="B1495" i="45"/>
  <c r="N1495" i="45"/>
  <c r="O1495" i="45"/>
  <c r="P1495" i="45"/>
  <c r="Q1495" i="45"/>
  <c r="A1496" i="45"/>
  <c r="B1496" i="45"/>
  <c r="N1496" i="45"/>
  <c r="O1496" i="45"/>
  <c r="P1496" i="45"/>
  <c r="Q1496" i="45"/>
  <c r="A1497" i="45"/>
  <c r="B1497" i="45"/>
  <c r="N1497" i="45"/>
  <c r="O1497" i="45"/>
  <c r="P1497" i="45"/>
  <c r="Q1497" i="45"/>
  <c r="A1498" i="45"/>
  <c r="B1498" i="45"/>
  <c r="N1498" i="45"/>
  <c r="O1498" i="45"/>
  <c r="P1498" i="45"/>
  <c r="Q1498" i="45"/>
  <c r="A1499" i="45"/>
  <c r="B1499" i="45"/>
  <c r="N1499" i="45"/>
  <c r="O1499" i="45"/>
  <c r="P1499" i="45"/>
  <c r="Q1499" i="45"/>
  <c r="A1500" i="45"/>
  <c r="B1500" i="45"/>
  <c r="N1500" i="45"/>
  <c r="O1500" i="45"/>
  <c r="P1500" i="45"/>
  <c r="Q1500" i="45"/>
  <c r="A1501" i="45"/>
  <c r="B1501" i="45"/>
  <c r="N1501" i="45"/>
  <c r="O1501" i="45"/>
  <c r="P1501" i="45"/>
  <c r="Q1501" i="45"/>
  <c r="A1502" i="45"/>
  <c r="B1502" i="45"/>
  <c r="N1502" i="45"/>
  <c r="O1502" i="45"/>
  <c r="P1502" i="45"/>
  <c r="Q1502" i="45"/>
  <c r="A1503" i="45"/>
  <c r="B1503" i="45"/>
  <c r="N1503" i="45"/>
  <c r="O1503" i="45"/>
  <c r="P1503" i="45"/>
  <c r="Q1503" i="45"/>
  <c r="A1504" i="45"/>
  <c r="B1504" i="45"/>
  <c r="N1504" i="45"/>
  <c r="O1504" i="45"/>
  <c r="P1504" i="45"/>
  <c r="Q1504" i="45"/>
  <c r="A1505" i="45"/>
  <c r="B1505" i="45"/>
  <c r="N1505" i="45"/>
  <c r="O1505" i="45"/>
  <c r="P1505" i="45"/>
  <c r="Q1505" i="45"/>
  <c r="A1506" i="45"/>
  <c r="B1506" i="45"/>
  <c r="N1506" i="45"/>
  <c r="O1506" i="45"/>
  <c r="P1506" i="45"/>
  <c r="Q1506" i="45"/>
  <c r="A1507" i="45"/>
  <c r="B1507" i="45"/>
  <c r="N1507" i="45"/>
  <c r="O1507" i="45"/>
  <c r="P1507" i="45"/>
  <c r="Q1507" i="45"/>
  <c r="A1508" i="45"/>
  <c r="B1508" i="45"/>
  <c r="N1508" i="45"/>
  <c r="O1508" i="45"/>
  <c r="P1508" i="45"/>
  <c r="Q1508" i="45"/>
  <c r="A1509" i="45"/>
  <c r="B1509" i="45"/>
  <c r="N1509" i="45"/>
  <c r="O1509" i="45"/>
  <c r="P1509" i="45"/>
  <c r="Q1509" i="45"/>
  <c r="A1510" i="45"/>
  <c r="B1510" i="45"/>
  <c r="N1510" i="45"/>
  <c r="O1510" i="45"/>
  <c r="P1510" i="45"/>
  <c r="Q1510" i="45"/>
  <c r="A1511" i="45"/>
  <c r="B1511" i="45"/>
  <c r="N1511" i="45"/>
  <c r="O1511" i="45"/>
  <c r="P1511" i="45"/>
  <c r="Q1511" i="45"/>
  <c r="A1512" i="45"/>
  <c r="B1512" i="45"/>
  <c r="N1512" i="45"/>
  <c r="O1512" i="45"/>
  <c r="P1512" i="45"/>
  <c r="Q1512" i="45"/>
  <c r="A1513" i="45"/>
  <c r="B1513" i="45"/>
  <c r="N1513" i="45"/>
  <c r="O1513" i="45"/>
  <c r="P1513" i="45"/>
  <c r="Q1513" i="45"/>
  <c r="A1514" i="45"/>
  <c r="B1514" i="45"/>
  <c r="N1514" i="45"/>
  <c r="O1514" i="45"/>
  <c r="P1514" i="45"/>
  <c r="Q1514" i="45"/>
  <c r="A1515" i="45"/>
  <c r="B1515" i="45"/>
  <c r="N1515" i="45"/>
  <c r="O1515" i="45"/>
  <c r="P1515" i="45"/>
  <c r="Q1515" i="45"/>
  <c r="A1516" i="45"/>
  <c r="B1516" i="45"/>
  <c r="N1516" i="45"/>
  <c r="O1516" i="45"/>
  <c r="P1516" i="45"/>
  <c r="Q1516" i="45"/>
  <c r="A1517" i="45"/>
  <c r="B1517" i="45"/>
  <c r="N1517" i="45"/>
  <c r="O1517" i="45"/>
  <c r="P1517" i="45"/>
  <c r="Q1517" i="45"/>
  <c r="A1518" i="45"/>
  <c r="B1518" i="45"/>
  <c r="N1518" i="45"/>
  <c r="O1518" i="45"/>
  <c r="P1518" i="45"/>
  <c r="Q1518" i="45"/>
  <c r="A1519" i="45"/>
  <c r="B1519" i="45"/>
  <c r="N1519" i="45"/>
  <c r="O1519" i="45"/>
  <c r="P1519" i="45"/>
  <c r="Q1519" i="45"/>
  <c r="A1520" i="45"/>
  <c r="B1520" i="45"/>
  <c r="N1520" i="45"/>
  <c r="O1520" i="45"/>
  <c r="P1520" i="45"/>
  <c r="Q1520" i="45"/>
  <c r="A1521" i="45"/>
  <c r="B1521" i="45"/>
  <c r="N1521" i="45"/>
  <c r="O1521" i="45"/>
  <c r="P1521" i="45"/>
  <c r="Q1521" i="45"/>
  <c r="A1522" i="45"/>
  <c r="B1522" i="45"/>
  <c r="N1522" i="45"/>
  <c r="O1522" i="45"/>
  <c r="P1522" i="45"/>
  <c r="Q1522" i="45"/>
  <c r="A1523" i="45"/>
  <c r="B1523" i="45"/>
  <c r="N1523" i="45"/>
  <c r="O1523" i="45"/>
  <c r="P1523" i="45"/>
  <c r="Q1523" i="45"/>
  <c r="A1524" i="45"/>
  <c r="B1524" i="45"/>
  <c r="N1524" i="45"/>
  <c r="O1524" i="45"/>
  <c r="P1524" i="45"/>
  <c r="Q1524" i="45"/>
  <c r="A1525" i="45"/>
  <c r="B1525" i="45"/>
  <c r="N1525" i="45"/>
  <c r="O1525" i="45"/>
  <c r="P1525" i="45"/>
  <c r="Q1525" i="45"/>
  <c r="A1526" i="45"/>
  <c r="B1526" i="45"/>
  <c r="N1526" i="45"/>
  <c r="O1526" i="45"/>
  <c r="P1526" i="45"/>
  <c r="Q1526" i="45"/>
  <c r="A1527" i="45"/>
  <c r="B1527" i="45"/>
  <c r="N1527" i="45"/>
  <c r="O1527" i="45"/>
  <c r="P1527" i="45"/>
  <c r="Q1527" i="45"/>
  <c r="A1528" i="45"/>
  <c r="B1528" i="45"/>
  <c r="N1528" i="45"/>
  <c r="O1528" i="45"/>
  <c r="P1528" i="45"/>
  <c r="Q1528" i="45"/>
  <c r="A1529" i="45"/>
  <c r="B1529" i="45"/>
  <c r="N1529" i="45"/>
  <c r="O1529" i="45"/>
  <c r="P1529" i="45"/>
  <c r="Q1529" i="45"/>
  <c r="A1530" i="45"/>
  <c r="B1530" i="45"/>
  <c r="N1530" i="45"/>
  <c r="O1530" i="45"/>
  <c r="P1530" i="45"/>
  <c r="Q1530" i="45"/>
  <c r="A1531" i="45"/>
  <c r="B1531" i="45"/>
  <c r="N1531" i="45"/>
  <c r="O1531" i="45"/>
  <c r="P1531" i="45"/>
  <c r="Q1531" i="45"/>
  <c r="A1532" i="45"/>
  <c r="B1532" i="45"/>
  <c r="N1532" i="45"/>
  <c r="O1532" i="45"/>
  <c r="P1532" i="45"/>
  <c r="Q1532" i="45"/>
  <c r="A1533" i="45"/>
  <c r="B1533" i="45"/>
  <c r="N1533" i="45"/>
  <c r="O1533" i="45"/>
  <c r="P1533" i="45"/>
  <c r="Q1533" i="45"/>
  <c r="A1534" i="45"/>
  <c r="B1534" i="45"/>
  <c r="N1534" i="45"/>
  <c r="O1534" i="45"/>
  <c r="P1534" i="45"/>
  <c r="Q1534" i="45"/>
  <c r="A1535" i="45"/>
  <c r="B1535" i="45"/>
  <c r="N1535" i="45"/>
  <c r="O1535" i="45"/>
  <c r="P1535" i="45"/>
  <c r="Q1535" i="45"/>
  <c r="A1536" i="45"/>
  <c r="B1536" i="45"/>
  <c r="N1536" i="45"/>
  <c r="O1536" i="45"/>
  <c r="P1536" i="45"/>
  <c r="Q1536" i="45"/>
  <c r="A1537" i="45"/>
  <c r="B1537" i="45"/>
  <c r="N1537" i="45"/>
  <c r="O1537" i="45"/>
  <c r="P1537" i="45"/>
  <c r="Q1537" i="45"/>
  <c r="A1538" i="45"/>
  <c r="B1538" i="45"/>
  <c r="N1538" i="45"/>
  <c r="O1538" i="45"/>
  <c r="P1538" i="45"/>
  <c r="Q1538" i="45"/>
  <c r="A1539" i="45"/>
  <c r="B1539" i="45"/>
  <c r="N1539" i="45"/>
  <c r="O1539" i="45"/>
  <c r="P1539" i="45"/>
  <c r="Q1539" i="45"/>
  <c r="A1540" i="45"/>
  <c r="B1540" i="45"/>
  <c r="N1540" i="45"/>
  <c r="O1540" i="45"/>
  <c r="P1540" i="45"/>
  <c r="Q1540" i="45"/>
  <c r="A1541" i="45"/>
  <c r="B1541" i="45"/>
  <c r="N1541" i="45"/>
  <c r="O1541" i="45"/>
  <c r="P1541" i="45"/>
  <c r="Q1541" i="45"/>
  <c r="A1542" i="45"/>
  <c r="B1542" i="45"/>
  <c r="N1542" i="45"/>
  <c r="O1542" i="45"/>
  <c r="P1542" i="45"/>
  <c r="Q1542" i="45"/>
  <c r="A1543" i="45"/>
  <c r="B1543" i="45"/>
  <c r="N1543" i="45"/>
  <c r="O1543" i="45"/>
  <c r="P1543" i="45"/>
  <c r="Q1543" i="45"/>
  <c r="A1544" i="45"/>
  <c r="B1544" i="45"/>
  <c r="N1544" i="45"/>
  <c r="O1544" i="45"/>
  <c r="P1544" i="45"/>
  <c r="Q1544" i="45"/>
  <c r="A1545" i="45"/>
  <c r="B1545" i="45"/>
  <c r="N1545" i="45"/>
  <c r="O1545" i="45"/>
  <c r="P1545" i="45"/>
  <c r="Q1545" i="45"/>
  <c r="A1546" i="45"/>
  <c r="B1546" i="45"/>
  <c r="N1546" i="45"/>
  <c r="O1546" i="45"/>
  <c r="P1546" i="45"/>
  <c r="Q1546" i="45"/>
  <c r="A1547" i="45"/>
  <c r="B1547" i="45"/>
  <c r="N1547" i="45"/>
  <c r="O1547" i="45"/>
  <c r="P1547" i="45"/>
  <c r="Q1547" i="45"/>
  <c r="A1548" i="45"/>
  <c r="B1548" i="45"/>
  <c r="N1548" i="45"/>
  <c r="O1548" i="45"/>
  <c r="P1548" i="45"/>
  <c r="Q1548" i="45"/>
  <c r="A1549" i="45"/>
  <c r="B1549" i="45"/>
  <c r="N1549" i="45"/>
  <c r="O1549" i="45"/>
  <c r="P1549" i="45"/>
  <c r="Q1549" i="45"/>
  <c r="A1550" i="45"/>
  <c r="B1550" i="45"/>
  <c r="N1550" i="45"/>
  <c r="O1550" i="45"/>
  <c r="P1550" i="45"/>
  <c r="Q1550" i="45"/>
  <c r="A1551" i="45"/>
  <c r="B1551" i="45"/>
  <c r="N1551" i="45"/>
  <c r="O1551" i="45"/>
  <c r="P1551" i="45"/>
  <c r="Q1551" i="45"/>
  <c r="A1552" i="45"/>
  <c r="B1552" i="45"/>
  <c r="N1552" i="45"/>
  <c r="O1552" i="45"/>
  <c r="P1552" i="45"/>
  <c r="Q1552" i="45"/>
  <c r="A1553" i="45"/>
  <c r="B1553" i="45"/>
  <c r="N1553" i="45"/>
  <c r="O1553" i="45"/>
  <c r="P1553" i="45"/>
  <c r="Q1553" i="45"/>
  <c r="A1554" i="45"/>
  <c r="B1554" i="45"/>
  <c r="N1554" i="45"/>
  <c r="O1554" i="45"/>
  <c r="P1554" i="45"/>
  <c r="Q1554" i="45"/>
  <c r="A1555" i="45"/>
  <c r="B1555" i="45"/>
  <c r="N1555" i="45"/>
  <c r="O1555" i="45"/>
  <c r="P1555" i="45"/>
  <c r="Q1555" i="45"/>
  <c r="A1556" i="45"/>
  <c r="B1556" i="45"/>
  <c r="N1556" i="45"/>
  <c r="O1556" i="45"/>
  <c r="P1556" i="45"/>
  <c r="Q1556" i="45"/>
  <c r="A1557" i="45"/>
  <c r="B1557" i="45"/>
  <c r="N1557" i="45"/>
  <c r="O1557" i="45"/>
  <c r="P1557" i="45"/>
  <c r="Q1557" i="45"/>
  <c r="A1558" i="45"/>
  <c r="B1558" i="45"/>
  <c r="N1558" i="45"/>
  <c r="O1558" i="45"/>
  <c r="P1558" i="45"/>
  <c r="Q1558" i="45"/>
  <c r="A1559" i="45"/>
  <c r="B1559" i="45"/>
  <c r="N1559" i="45"/>
  <c r="O1559" i="45"/>
  <c r="P1559" i="45"/>
  <c r="Q1559" i="45"/>
  <c r="A1560" i="45"/>
  <c r="B1560" i="45"/>
  <c r="N1560" i="45"/>
  <c r="O1560" i="45"/>
  <c r="P1560" i="45"/>
  <c r="Q1560" i="45"/>
  <c r="A1561" i="45"/>
  <c r="B1561" i="45"/>
  <c r="N1561" i="45"/>
  <c r="O1561" i="45"/>
  <c r="P1561" i="45"/>
  <c r="Q1561" i="45"/>
  <c r="A1562" i="45"/>
  <c r="B1562" i="45"/>
  <c r="N1562" i="45"/>
  <c r="O1562" i="45"/>
  <c r="P1562" i="45"/>
  <c r="Q1562" i="45"/>
  <c r="A1563" i="45"/>
  <c r="B1563" i="45"/>
  <c r="N1563" i="45"/>
  <c r="O1563" i="45"/>
  <c r="P1563" i="45"/>
  <c r="Q1563" i="45"/>
  <c r="A1564" i="45"/>
  <c r="B1564" i="45"/>
  <c r="N1564" i="45"/>
  <c r="O1564" i="45"/>
  <c r="P1564" i="45"/>
  <c r="Q1564" i="45"/>
  <c r="A1565" i="45"/>
  <c r="B1565" i="45"/>
  <c r="N1565" i="45"/>
  <c r="O1565" i="45"/>
  <c r="P1565" i="45"/>
  <c r="Q1565" i="45"/>
  <c r="A1566" i="45"/>
  <c r="B1566" i="45"/>
  <c r="N1566" i="45"/>
  <c r="O1566" i="45"/>
  <c r="P1566" i="45"/>
  <c r="Q1566" i="45"/>
  <c r="A1567" i="45"/>
  <c r="B1567" i="45"/>
  <c r="N1567" i="45"/>
  <c r="O1567" i="45"/>
  <c r="P1567" i="45"/>
  <c r="Q1567" i="45"/>
  <c r="A1568" i="45"/>
  <c r="B1568" i="45"/>
  <c r="N1568" i="45"/>
  <c r="O1568" i="45"/>
  <c r="P1568" i="45"/>
  <c r="Q1568" i="45"/>
  <c r="A1569" i="45"/>
  <c r="B1569" i="45"/>
  <c r="N1569" i="45"/>
  <c r="O1569" i="45"/>
  <c r="P1569" i="45"/>
  <c r="Q1569" i="45"/>
  <c r="A1570" i="45"/>
  <c r="B1570" i="45"/>
  <c r="N1570" i="45"/>
  <c r="O1570" i="45"/>
  <c r="P1570" i="45"/>
  <c r="Q1570" i="45"/>
  <c r="A1571" i="45"/>
  <c r="B1571" i="45"/>
  <c r="N1571" i="45"/>
  <c r="O1571" i="45"/>
  <c r="P1571" i="45"/>
  <c r="Q1571" i="45"/>
  <c r="A1572" i="45"/>
  <c r="B1572" i="45"/>
  <c r="N1572" i="45"/>
  <c r="O1572" i="45"/>
  <c r="P1572" i="45"/>
  <c r="Q1572" i="45"/>
  <c r="A1573" i="45"/>
  <c r="B1573" i="45"/>
  <c r="N1573" i="45"/>
  <c r="O1573" i="45"/>
  <c r="P1573" i="45"/>
  <c r="Q1573" i="45"/>
  <c r="A1574" i="45"/>
  <c r="B1574" i="45"/>
  <c r="N1574" i="45"/>
  <c r="O1574" i="45"/>
  <c r="P1574" i="45"/>
  <c r="Q1574" i="45"/>
  <c r="A1575" i="45"/>
  <c r="B1575" i="45"/>
  <c r="N1575" i="45"/>
  <c r="O1575" i="45"/>
  <c r="P1575" i="45"/>
  <c r="Q1575" i="45"/>
  <c r="A1576" i="45"/>
  <c r="B1576" i="45"/>
  <c r="N1576" i="45"/>
  <c r="O1576" i="45"/>
  <c r="P1576" i="45"/>
  <c r="Q1576" i="45"/>
  <c r="A1577" i="45"/>
  <c r="B1577" i="45"/>
  <c r="N1577" i="45"/>
  <c r="O1577" i="45"/>
  <c r="P1577" i="45"/>
  <c r="Q1577" i="45"/>
  <c r="A1578" i="45"/>
  <c r="B1578" i="45"/>
  <c r="N1578" i="45"/>
  <c r="O1578" i="45"/>
  <c r="P1578" i="45"/>
  <c r="Q1578" i="45"/>
  <c r="A1579" i="45"/>
  <c r="B1579" i="45"/>
  <c r="N1579" i="45"/>
  <c r="O1579" i="45"/>
  <c r="P1579" i="45"/>
  <c r="Q1579" i="45"/>
  <c r="A1580" i="45"/>
  <c r="B1580" i="45"/>
  <c r="N1580" i="45"/>
  <c r="O1580" i="45"/>
  <c r="P1580" i="45"/>
  <c r="Q1580" i="45"/>
  <c r="A1581" i="45"/>
  <c r="B1581" i="45"/>
  <c r="N1581" i="45"/>
  <c r="O1581" i="45"/>
  <c r="P1581" i="45"/>
  <c r="Q1581" i="45"/>
  <c r="A1582" i="45"/>
  <c r="B1582" i="45"/>
  <c r="N1582" i="45"/>
  <c r="O1582" i="45"/>
  <c r="P1582" i="45"/>
  <c r="Q1582" i="45"/>
  <c r="A1583" i="45"/>
  <c r="B1583" i="45"/>
  <c r="N1583" i="45"/>
  <c r="O1583" i="45"/>
  <c r="P1583" i="45"/>
  <c r="Q1583" i="45"/>
  <c r="A1584" i="45"/>
  <c r="B1584" i="45"/>
  <c r="N1584" i="45"/>
  <c r="O1584" i="45"/>
  <c r="P1584" i="45"/>
  <c r="Q1584" i="45"/>
  <c r="A1585" i="45"/>
  <c r="B1585" i="45"/>
  <c r="N1585" i="45"/>
  <c r="O1585" i="45"/>
  <c r="P1585" i="45"/>
  <c r="Q1585" i="45"/>
  <c r="A1586" i="45"/>
  <c r="B1586" i="45"/>
  <c r="N1586" i="45"/>
  <c r="O1586" i="45"/>
  <c r="P1586" i="45"/>
  <c r="Q1586" i="45"/>
  <c r="A1587" i="45"/>
  <c r="B1587" i="45"/>
  <c r="N1587" i="45"/>
  <c r="O1587" i="45"/>
  <c r="P1587" i="45"/>
  <c r="Q1587" i="45"/>
  <c r="A1588" i="45"/>
  <c r="B1588" i="45"/>
  <c r="N1588" i="45"/>
  <c r="O1588" i="45"/>
  <c r="P1588" i="45"/>
  <c r="Q1588" i="45"/>
  <c r="A1589" i="45"/>
  <c r="B1589" i="45"/>
  <c r="N1589" i="45"/>
  <c r="O1589" i="45"/>
  <c r="P1589" i="45"/>
  <c r="Q1589" i="45"/>
  <c r="A1590" i="45"/>
  <c r="B1590" i="45"/>
  <c r="N1590" i="45"/>
  <c r="O1590" i="45"/>
  <c r="P1590" i="45"/>
  <c r="Q1590" i="45"/>
  <c r="A1591" i="45"/>
  <c r="B1591" i="45"/>
  <c r="N1591" i="45"/>
  <c r="O1591" i="45"/>
  <c r="P1591" i="45"/>
  <c r="Q1591" i="45"/>
  <c r="A1592" i="45"/>
  <c r="B1592" i="45"/>
  <c r="N1592" i="45"/>
  <c r="O1592" i="45"/>
  <c r="P1592" i="45"/>
  <c r="Q1592" i="45"/>
  <c r="A1593" i="45"/>
  <c r="B1593" i="45"/>
  <c r="N1593" i="45"/>
  <c r="O1593" i="45"/>
  <c r="P1593" i="45"/>
  <c r="Q1593" i="45"/>
  <c r="A1594" i="45"/>
  <c r="B1594" i="45"/>
  <c r="N1594" i="45"/>
  <c r="O1594" i="45"/>
  <c r="P1594" i="45"/>
  <c r="Q1594" i="45"/>
  <c r="A1595" i="45"/>
  <c r="B1595" i="45"/>
  <c r="N1595" i="45"/>
  <c r="O1595" i="45"/>
  <c r="P1595" i="45"/>
  <c r="Q1595" i="45"/>
  <c r="A1596" i="45"/>
  <c r="B1596" i="45"/>
  <c r="N1596" i="45"/>
  <c r="O1596" i="45"/>
  <c r="P1596" i="45"/>
  <c r="Q1596" i="45"/>
  <c r="A1597" i="45"/>
  <c r="B1597" i="45"/>
  <c r="N1597" i="45"/>
  <c r="O1597" i="45"/>
  <c r="P1597" i="45"/>
  <c r="Q1597" i="45"/>
  <c r="A1598" i="45"/>
  <c r="B1598" i="45"/>
  <c r="N1598" i="45"/>
  <c r="O1598" i="45"/>
  <c r="P1598" i="45"/>
  <c r="Q1598" i="45"/>
  <c r="A1599" i="45"/>
  <c r="B1599" i="45"/>
  <c r="N1599" i="45"/>
  <c r="O1599" i="45"/>
  <c r="P1599" i="45"/>
  <c r="Q1599" i="45"/>
  <c r="A1600" i="45"/>
  <c r="B1600" i="45"/>
  <c r="N1600" i="45"/>
  <c r="O1600" i="45"/>
  <c r="P1600" i="45"/>
  <c r="Q1600" i="45"/>
  <c r="A1601" i="45"/>
  <c r="B1601" i="45"/>
  <c r="N1601" i="45"/>
  <c r="O1601" i="45"/>
  <c r="P1601" i="45"/>
  <c r="Q1601" i="45"/>
  <c r="A1602" i="45"/>
  <c r="B1602" i="45"/>
  <c r="N1602" i="45"/>
  <c r="O1602" i="45"/>
  <c r="P1602" i="45"/>
  <c r="Q1602" i="45"/>
  <c r="A1603" i="45"/>
  <c r="B1603" i="45"/>
  <c r="N1603" i="45"/>
  <c r="O1603" i="45"/>
  <c r="P1603" i="45"/>
  <c r="Q1603" i="45"/>
  <c r="A1604" i="45"/>
  <c r="B1604" i="45"/>
  <c r="N1604" i="45"/>
  <c r="O1604" i="45"/>
  <c r="P1604" i="45"/>
  <c r="Q1604" i="45"/>
  <c r="A1605" i="45"/>
  <c r="B1605" i="45"/>
  <c r="N1605" i="45"/>
  <c r="O1605" i="45"/>
  <c r="P1605" i="45"/>
  <c r="Q1605" i="45"/>
  <c r="A1606" i="45"/>
  <c r="B1606" i="45"/>
  <c r="N1606" i="45"/>
  <c r="O1606" i="45"/>
  <c r="P1606" i="45"/>
  <c r="Q1606" i="45"/>
  <c r="A1607" i="45"/>
  <c r="B1607" i="45"/>
  <c r="N1607" i="45"/>
  <c r="O1607" i="45"/>
  <c r="P1607" i="45"/>
  <c r="Q1607" i="45"/>
  <c r="A1608" i="45"/>
  <c r="B1608" i="45"/>
  <c r="N1608" i="45"/>
  <c r="O1608" i="45"/>
  <c r="P1608" i="45"/>
  <c r="Q1608" i="45"/>
  <c r="A1609" i="45"/>
  <c r="B1609" i="45"/>
  <c r="N1609" i="45"/>
  <c r="O1609" i="45"/>
  <c r="P1609" i="45"/>
  <c r="Q1609" i="45"/>
  <c r="A1610" i="45"/>
  <c r="B1610" i="45"/>
  <c r="N1610" i="45"/>
  <c r="O1610" i="45"/>
  <c r="P1610" i="45"/>
  <c r="Q1610" i="45"/>
  <c r="A1611" i="45"/>
  <c r="B1611" i="45"/>
  <c r="N1611" i="45"/>
  <c r="O1611" i="45"/>
  <c r="P1611" i="45"/>
  <c r="Q1611" i="45"/>
  <c r="A1612" i="45"/>
  <c r="B1612" i="45"/>
  <c r="N1612" i="45"/>
  <c r="O1612" i="45"/>
  <c r="P1612" i="45"/>
  <c r="Q1612" i="45"/>
  <c r="A1613" i="45"/>
  <c r="B1613" i="45"/>
  <c r="N1613" i="45"/>
  <c r="O1613" i="45"/>
  <c r="P1613" i="45"/>
  <c r="Q1613" i="45"/>
  <c r="A1614" i="45"/>
  <c r="B1614" i="45"/>
  <c r="N1614" i="45"/>
  <c r="O1614" i="45"/>
  <c r="P1614" i="45"/>
  <c r="Q1614" i="45"/>
  <c r="A1615" i="45"/>
  <c r="B1615" i="45"/>
  <c r="N1615" i="45"/>
  <c r="O1615" i="45"/>
  <c r="P1615" i="45"/>
  <c r="Q1615" i="45"/>
  <c r="A1616" i="45"/>
  <c r="B1616" i="45"/>
  <c r="N1616" i="45"/>
  <c r="O1616" i="45"/>
  <c r="P1616" i="45"/>
  <c r="Q1616" i="45"/>
  <c r="A1617" i="45"/>
  <c r="B1617" i="45"/>
  <c r="N1617" i="45"/>
  <c r="O1617" i="45"/>
  <c r="P1617" i="45"/>
  <c r="Q1617" i="45"/>
  <c r="A1618" i="45"/>
  <c r="B1618" i="45"/>
  <c r="N1618" i="45"/>
  <c r="O1618" i="45"/>
  <c r="P1618" i="45"/>
  <c r="Q1618" i="45"/>
  <c r="A1619" i="45"/>
  <c r="B1619" i="45"/>
  <c r="N1619" i="45"/>
  <c r="O1619" i="45"/>
  <c r="P1619" i="45"/>
  <c r="Q1619" i="45"/>
  <c r="A1620" i="45"/>
  <c r="B1620" i="45"/>
  <c r="N1620" i="45"/>
  <c r="O1620" i="45"/>
  <c r="P1620" i="45"/>
  <c r="Q1620" i="45"/>
  <c r="A1621" i="45"/>
  <c r="B1621" i="45"/>
  <c r="N1621" i="45"/>
  <c r="O1621" i="45"/>
  <c r="P1621" i="45"/>
  <c r="Q1621" i="45"/>
  <c r="A1622" i="45"/>
  <c r="B1622" i="45"/>
  <c r="N1622" i="45"/>
  <c r="O1622" i="45"/>
  <c r="P1622" i="45"/>
  <c r="Q1622" i="45"/>
  <c r="A1623" i="45"/>
  <c r="B1623" i="45"/>
  <c r="N1623" i="45"/>
  <c r="O1623" i="45"/>
  <c r="P1623" i="45"/>
  <c r="Q1623" i="45"/>
  <c r="A1624" i="45"/>
  <c r="B1624" i="45"/>
  <c r="N1624" i="45"/>
  <c r="O1624" i="45"/>
  <c r="P1624" i="45"/>
  <c r="Q1624" i="45"/>
  <c r="A1625" i="45"/>
  <c r="B1625" i="45"/>
  <c r="N1625" i="45"/>
  <c r="O1625" i="45"/>
  <c r="P1625" i="45"/>
  <c r="Q1625" i="45"/>
  <c r="A1626" i="45"/>
  <c r="B1626" i="45"/>
  <c r="N1626" i="45"/>
  <c r="O1626" i="45"/>
  <c r="P1626" i="45"/>
  <c r="Q1626" i="45"/>
  <c r="A1627" i="45"/>
  <c r="B1627" i="45"/>
  <c r="N1627" i="45"/>
  <c r="O1627" i="45"/>
  <c r="P1627" i="45"/>
  <c r="Q1627" i="45"/>
  <c r="A1628" i="45"/>
  <c r="B1628" i="45"/>
  <c r="N1628" i="45"/>
  <c r="O1628" i="45"/>
  <c r="P1628" i="45"/>
  <c r="Q1628" i="45"/>
  <c r="A1629" i="45"/>
  <c r="B1629" i="45"/>
  <c r="N1629" i="45"/>
  <c r="O1629" i="45"/>
  <c r="P1629" i="45"/>
  <c r="Q1629" i="45"/>
  <c r="A1630" i="45"/>
  <c r="B1630" i="45"/>
  <c r="N1630" i="45"/>
  <c r="O1630" i="45"/>
  <c r="P1630" i="45"/>
  <c r="Q1630" i="45"/>
  <c r="A1631" i="45"/>
  <c r="B1631" i="45"/>
  <c r="N1631" i="45"/>
  <c r="O1631" i="45"/>
  <c r="P1631" i="45"/>
  <c r="Q1631" i="45"/>
  <c r="A1632" i="45"/>
  <c r="B1632" i="45"/>
  <c r="N1632" i="45"/>
  <c r="O1632" i="45"/>
  <c r="P1632" i="45"/>
  <c r="Q1632" i="45"/>
  <c r="A1633" i="45"/>
  <c r="B1633" i="45"/>
  <c r="N1633" i="45"/>
  <c r="O1633" i="45"/>
  <c r="P1633" i="45"/>
  <c r="Q1633" i="45"/>
  <c r="A1634" i="45"/>
  <c r="B1634" i="45"/>
  <c r="N1634" i="45"/>
  <c r="O1634" i="45"/>
  <c r="P1634" i="45"/>
  <c r="Q1634" i="45"/>
  <c r="A1635" i="45"/>
  <c r="B1635" i="45"/>
  <c r="N1635" i="45"/>
  <c r="O1635" i="45"/>
  <c r="P1635" i="45"/>
  <c r="Q1635" i="45"/>
  <c r="A1636" i="45"/>
  <c r="B1636" i="45"/>
  <c r="N1636" i="45"/>
  <c r="O1636" i="45"/>
  <c r="P1636" i="45"/>
  <c r="Q1636" i="45"/>
  <c r="A1637" i="45"/>
  <c r="B1637" i="45"/>
  <c r="N1637" i="45"/>
  <c r="O1637" i="45"/>
  <c r="P1637" i="45"/>
  <c r="Q1637" i="45"/>
  <c r="A1638" i="45"/>
  <c r="B1638" i="45"/>
  <c r="N1638" i="45"/>
  <c r="O1638" i="45"/>
  <c r="P1638" i="45"/>
  <c r="Q1638" i="45"/>
  <c r="A1639" i="45"/>
  <c r="B1639" i="45"/>
  <c r="N1639" i="45"/>
  <c r="O1639" i="45"/>
  <c r="P1639" i="45"/>
  <c r="Q1639" i="45"/>
  <c r="A1640" i="45"/>
  <c r="B1640" i="45"/>
  <c r="N1640" i="45"/>
  <c r="O1640" i="45"/>
  <c r="P1640" i="45"/>
  <c r="Q1640" i="45"/>
  <c r="A1641" i="45"/>
  <c r="B1641" i="45"/>
  <c r="N1641" i="45"/>
  <c r="O1641" i="45"/>
  <c r="P1641" i="45"/>
  <c r="Q1641" i="45"/>
  <c r="A1642" i="45"/>
  <c r="B1642" i="45"/>
  <c r="N1642" i="45"/>
  <c r="O1642" i="45"/>
  <c r="P1642" i="45"/>
  <c r="Q1642" i="45"/>
  <c r="A1643" i="45"/>
  <c r="B1643" i="45"/>
  <c r="N1643" i="45"/>
  <c r="O1643" i="45"/>
  <c r="P1643" i="45"/>
  <c r="Q1643" i="45"/>
  <c r="A1644" i="45"/>
  <c r="B1644" i="45"/>
  <c r="N1644" i="45"/>
  <c r="O1644" i="45"/>
  <c r="P1644" i="45"/>
  <c r="Q1644" i="45"/>
  <c r="A1645" i="45"/>
  <c r="B1645" i="45"/>
  <c r="N1645" i="45"/>
  <c r="O1645" i="45"/>
  <c r="P1645" i="45"/>
  <c r="Q1645" i="45"/>
  <c r="A1646" i="45"/>
  <c r="B1646" i="45"/>
  <c r="N1646" i="45"/>
  <c r="O1646" i="45"/>
  <c r="P1646" i="45"/>
  <c r="Q1646" i="45"/>
  <c r="A1647" i="45"/>
  <c r="B1647" i="45"/>
  <c r="N1647" i="45"/>
  <c r="O1647" i="45"/>
  <c r="P1647" i="45"/>
  <c r="Q1647" i="45"/>
  <c r="A1648" i="45"/>
  <c r="B1648" i="45"/>
  <c r="N1648" i="45"/>
  <c r="O1648" i="45"/>
  <c r="P1648" i="45"/>
  <c r="Q1648" i="45"/>
  <c r="A1649" i="45"/>
  <c r="B1649" i="45"/>
  <c r="N1649" i="45"/>
  <c r="O1649" i="45"/>
  <c r="P1649" i="45"/>
  <c r="Q1649" i="45"/>
  <c r="A1650" i="45"/>
  <c r="B1650" i="45"/>
  <c r="N1650" i="45"/>
  <c r="O1650" i="45"/>
  <c r="P1650" i="45"/>
  <c r="Q1650" i="45"/>
  <c r="A1651" i="45"/>
  <c r="B1651" i="45"/>
  <c r="N1651" i="45"/>
  <c r="O1651" i="45"/>
  <c r="P1651" i="45"/>
  <c r="Q1651" i="45"/>
  <c r="A1652" i="45"/>
  <c r="B1652" i="45"/>
  <c r="N1652" i="45"/>
  <c r="O1652" i="45"/>
  <c r="P1652" i="45"/>
  <c r="Q1652" i="45"/>
  <c r="A1653" i="45"/>
  <c r="B1653" i="45"/>
  <c r="N1653" i="45"/>
  <c r="O1653" i="45"/>
  <c r="P1653" i="45"/>
  <c r="Q1653" i="45"/>
  <c r="A1654" i="45"/>
  <c r="B1654" i="45"/>
  <c r="N1654" i="45"/>
  <c r="O1654" i="45"/>
  <c r="P1654" i="45"/>
  <c r="Q1654" i="45"/>
  <c r="A1655" i="45"/>
  <c r="B1655" i="45"/>
  <c r="N1655" i="45"/>
  <c r="O1655" i="45"/>
  <c r="P1655" i="45"/>
  <c r="Q1655" i="45"/>
  <c r="A1656" i="45"/>
  <c r="B1656" i="45"/>
  <c r="N1656" i="45"/>
  <c r="O1656" i="45"/>
  <c r="P1656" i="45"/>
  <c r="Q1656" i="45"/>
  <c r="A1657" i="45"/>
  <c r="B1657" i="45"/>
  <c r="N1657" i="45"/>
  <c r="O1657" i="45"/>
  <c r="P1657" i="45"/>
  <c r="Q1657" i="45"/>
  <c r="A1658" i="45"/>
  <c r="B1658" i="45"/>
  <c r="N1658" i="45"/>
  <c r="O1658" i="45"/>
  <c r="P1658" i="45"/>
  <c r="Q1658" i="45"/>
  <c r="A1659" i="45"/>
  <c r="B1659" i="45"/>
  <c r="N1659" i="45"/>
  <c r="O1659" i="45"/>
  <c r="P1659" i="45"/>
  <c r="Q1659" i="45"/>
  <c r="A1660" i="45"/>
  <c r="B1660" i="45"/>
  <c r="N1660" i="45"/>
  <c r="O1660" i="45"/>
  <c r="P1660" i="45"/>
  <c r="Q1660" i="45"/>
  <c r="A1661" i="45"/>
  <c r="B1661" i="45"/>
  <c r="N1661" i="45"/>
  <c r="O1661" i="45"/>
  <c r="P1661" i="45"/>
  <c r="Q1661" i="45"/>
  <c r="A1662" i="45"/>
  <c r="B1662" i="45"/>
  <c r="N1662" i="45"/>
  <c r="O1662" i="45"/>
  <c r="P1662" i="45"/>
  <c r="Q1662" i="45"/>
  <c r="A1663" i="45"/>
  <c r="B1663" i="45"/>
  <c r="N1663" i="45"/>
  <c r="O1663" i="45"/>
  <c r="P1663" i="45"/>
  <c r="Q1663" i="45"/>
  <c r="A1664" i="45"/>
  <c r="B1664" i="45"/>
  <c r="N1664" i="45"/>
  <c r="O1664" i="45"/>
  <c r="P1664" i="45"/>
  <c r="Q1664" i="45"/>
  <c r="A1665" i="45"/>
  <c r="B1665" i="45"/>
  <c r="N1665" i="45"/>
  <c r="O1665" i="45"/>
  <c r="P1665" i="45"/>
  <c r="Q1665" i="45"/>
  <c r="A1666" i="45"/>
  <c r="B1666" i="45"/>
  <c r="N1666" i="45"/>
  <c r="O1666" i="45"/>
  <c r="P1666" i="45"/>
  <c r="Q1666" i="45"/>
  <c r="A1667" i="45"/>
  <c r="B1667" i="45"/>
  <c r="N1667" i="45"/>
  <c r="O1667" i="45"/>
  <c r="P1667" i="45"/>
  <c r="Q1667" i="45"/>
  <c r="A1668" i="45"/>
  <c r="B1668" i="45"/>
  <c r="N1668" i="45"/>
  <c r="O1668" i="45"/>
  <c r="P1668" i="45"/>
  <c r="Q1668" i="45"/>
  <c r="A1669" i="45"/>
  <c r="B1669" i="45"/>
  <c r="N1669" i="45"/>
  <c r="O1669" i="45"/>
  <c r="P1669" i="45"/>
  <c r="Q1669" i="45"/>
  <c r="A1670" i="45"/>
  <c r="B1670" i="45"/>
  <c r="N1670" i="45"/>
  <c r="O1670" i="45"/>
  <c r="P1670" i="45"/>
  <c r="Q1670" i="45"/>
  <c r="A1671" i="45"/>
  <c r="B1671" i="45"/>
  <c r="N1671" i="45"/>
  <c r="O1671" i="45"/>
  <c r="P1671" i="45"/>
  <c r="Q1671" i="45"/>
  <c r="A1672" i="45"/>
  <c r="B1672" i="45"/>
  <c r="N1672" i="45"/>
  <c r="O1672" i="45"/>
  <c r="P1672" i="45"/>
  <c r="Q1672" i="45"/>
  <c r="A1673" i="45"/>
  <c r="B1673" i="45"/>
  <c r="N1673" i="45"/>
  <c r="O1673" i="45"/>
  <c r="P1673" i="45"/>
  <c r="Q1673" i="45"/>
  <c r="A1674" i="45"/>
  <c r="B1674" i="45"/>
  <c r="N1674" i="45"/>
  <c r="O1674" i="45"/>
  <c r="P1674" i="45"/>
  <c r="Q1674" i="45"/>
  <c r="A1675" i="45"/>
  <c r="B1675" i="45"/>
  <c r="N1675" i="45"/>
  <c r="O1675" i="45"/>
  <c r="P1675" i="45"/>
  <c r="Q1675" i="45"/>
  <c r="A1676" i="45"/>
  <c r="B1676" i="45"/>
  <c r="N1676" i="45"/>
  <c r="O1676" i="45"/>
  <c r="P1676" i="45"/>
  <c r="Q1676" i="45"/>
  <c r="A1677" i="45"/>
  <c r="B1677" i="45"/>
  <c r="N1677" i="45"/>
  <c r="O1677" i="45"/>
  <c r="P1677" i="45"/>
  <c r="Q1677" i="45"/>
  <c r="A1678" i="45"/>
  <c r="B1678" i="45"/>
  <c r="N1678" i="45"/>
  <c r="O1678" i="45"/>
  <c r="P1678" i="45"/>
  <c r="Q1678" i="45"/>
  <c r="A1679" i="45"/>
  <c r="B1679" i="45"/>
  <c r="N1679" i="45"/>
  <c r="O1679" i="45"/>
  <c r="P1679" i="45"/>
  <c r="Q1679" i="45"/>
  <c r="A1680" i="45"/>
  <c r="B1680" i="45"/>
  <c r="N1680" i="45"/>
  <c r="O1680" i="45"/>
  <c r="P1680" i="45"/>
  <c r="Q1680" i="45"/>
  <c r="A1681" i="45"/>
  <c r="B1681" i="45"/>
  <c r="N1681" i="45"/>
  <c r="O1681" i="45"/>
  <c r="P1681" i="45"/>
  <c r="Q1681" i="45"/>
  <c r="A1682" i="45"/>
  <c r="B1682" i="45"/>
  <c r="N1682" i="45"/>
  <c r="O1682" i="45"/>
  <c r="P1682" i="45"/>
  <c r="Q1682" i="45"/>
  <c r="A1683" i="45"/>
  <c r="B1683" i="45"/>
  <c r="N1683" i="45"/>
  <c r="O1683" i="45"/>
  <c r="P1683" i="45"/>
  <c r="Q1683" i="45"/>
  <c r="A1684" i="45"/>
  <c r="B1684" i="45"/>
  <c r="N1684" i="45"/>
  <c r="O1684" i="45"/>
  <c r="P1684" i="45"/>
  <c r="Q1684" i="45"/>
  <c r="A1685" i="45"/>
  <c r="B1685" i="45"/>
  <c r="N1685" i="45"/>
  <c r="O1685" i="45"/>
  <c r="P1685" i="45"/>
  <c r="Q1685" i="45"/>
  <c r="A1686" i="45"/>
  <c r="B1686" i="45"/>
  <c r="N1686" i="45"/>
  <c r="O1686" i="45"/>
  <c r="P1686" i="45"/>
  <c r="Q1686" i="45"/>
  <c r="A1687" i="45"/>
  <c r="B1687" i="45"/>
  <c r="N1687" i="45"/>
  <c r="O1687" i="45"/>
  <c r="P1687" i="45"/>
  <c r="Q1687" i="45"/>
  <c r="A1688" i="45"/>
  <c r="B1688" i="45"/>
  <c r="N1688" i="45"/>
  <c r="O1688" i="45"/>
  <c r="P1688" i="45"/>
  <c r="Q1688" i="45"/>
  <c r="A1689" i="45"/>
  <c r="B1689" i="45"/>
  <c r="N1689" i="45"/>
  <c r="O1689" i="45"/>
  <c r="P1689" i="45"/>
  <c r="Q1689" i="45"/>
  <c r="A1690" i="45"/>
  <c r="B1690" i="45"/>
  <c r="N1690" i="45"/>
  <c r="O1690" i="45"/>
  <c r="P1690" i="45"/>
  <c r="Q1690" i="45"/>
  <c r="A1691" i="45"/>
  <c r="B1691" i="45"/>
  <c r="N1691" i="45"/>
  <c r="O1691" i="45"/>
  <c r="P1691" i="45"/>
  <c r="Q1691" i="45"/>
  <c r="A1692" i="45"/>
  <c r="B1692" i="45"/>
  <c r="N1692" i="45"/>
  <c r="O1692" i="45"/>
  <c r="P1692" i="45"/>
  <c r="Q1692" i="45"/>
  <c r="A1693" i="45"/>
  <c r="B1693" i="45"/>
  <c r="N1693" i="45"/>
  <c r="O1693" i="45"/>
  <c r="P1693" i="45"/>
  <c r="Q1693" i="45"/>
  <c r="A1694" i="45"/>
  <c r="B1694" i="45"/>
  <c r="N1694" i="45"/>
  <c r="O1694" i="45"/>
  <c r="P1694" i="45"/>
  <c r="Q1694" i="45"/>
  <c r="A1695" i="45"/>
  <c r="B1695" i="45"/>
  <c r="N1695" i="45"/>
  <c r="O1695" i="45"/>
  <c r="P1695" i="45"/>
  <c r="Q1695" i="45"/>
  <c r="A1696" i="45"/>
  <c r="N1696" i="45"/>
  <c r="O1696" i="45"/>
  <c r="P1696" i="45"/>
  <c r="Q1696" i="45"/>
  <c r="A1697" i="45"/>
  <c r="N1697" i="45"/>
  <c r="O1697" i="45"/>
  <c r="P1697" i="45"/>
  <c r="Q1697" i="45"/>
  <c r="A1698" i="45"/>
  <c r="N1698" i="45"/>
  <c r="O1698" i="45"/>
  <c r="P1698" i="45"/>
  <c r="Q1698" i="45"/>
  <c r="A1699" i="45"/>
  <c r="N1699" i="45"/>
  <c r="O1699" i="45"/>
  <c r="P1699" i="45"/>
  <c r="Q1699" i="45"/>
  <c r="A1700" i="45"/>
  <c r="N1700" i="45"/>
  <c r="O1700" i="45"/>
  <c r="P1700" i="45"/>
  <c r="Q1700" i="45"/>
  <c r="V11" i="38" l="1"/>
  <c r="W11" i="38" s="1"/>
  <c r="E8" i="38"/>
  <c r="E21" i="38"/>
  <c r="E5" i="38"/>
  <c r="E14" i="38"/>
  <c r="F10" i="29"/>
  <c r="O11" i="38" l="1"/>
  <c r="J24" i="23" l="1"/>
  <c r="WM2" i="39" l="1"/>
  <c r="WL2" i="39"/>
  <c r="WK2" i="39"/>
  <c r="WJ2" i="39"/>
  <c r="WI2" i="39"/>
  <c r="WH2" i="39"/>
  <c r="WG2" i="39"/>
  <c r="WF2" i="39"/>
  <c r="WB2" i="39"/>
  <c r="WC2" i="39"/>
  <c r="WD2" i="39"/>
  <c r="WE2" i="39"/>
  <c r="WA2" i="39"/>
  <c r="VW2" i="39"/>
  <c r="VX2" i="39"/>
  <c r="VY2" i="39"/>
  <c r="VZ2" i="39"/>
  <c r="VV2" i="39"/>
  <c r="VT2" i="39"/>
  <c r="VU2" i="39"/>
  <c r="VS2" i="39"/>
  <c r="VQ2" i="39"/>
  <c r="VR2" i="39"/>
  <c r="VP2" i="39"/>
  <c r="VN2" i="39"/>
  <c r="VO2" i="39"/>
  <c r="VM2" i="39"/>
  <c r="VK2" i="39"/>
  <c r="VL2" i="39"/>
  <c r="VJ2" i="39"/>
  <c r="VH2" i="39"/>
  <c r="VI2" i="39"/>
  <c r="VG2" i="39"/>
  <c r="VE2" i="39"/>
  <c r="VF2" i="39"/>
  <c r="VD2" i="39"/>
  <c r="VB2" i="39"/>
  <c r="VC2" i="39"/>
  <c r="VA2" i="39"/>
  <c r="UY2" i="39"/>
  <c r="UZ2" i="39"/>
  <c r="UX2" i="39"/>
  <c r="R32" i="38"/>
  <c r="UW2" i="39" s="1"/>
  <c r="R30" i="38"/>
  <c r="UV2" i="39" s="1"/>
  <c r="R28" i="38"/>
  <c r="UU2" i="39" s="1"/>
  <c r="R26" i="38"/>
  <c r="UT2" i="39" s="1"/>
  <c r="R19" i="38"/>
  <c r="US2" i="39" s="1"/>
  <c r="R12" i="38"/>
  <c r="UR2" i="39" s="1"/>
  <c r="UQ2" i="39"/>
  <c r="R3" i="38"/>
  <c r="UP2" i="39" s="1"/>
  <c r="UL2" i="39"/>
  <c r="UM2" i="39"/>
  <c r="UN2" i="39"/>
  <c r="UO2" i="39"/>
  <c r="UK2" i="39"/>
  <c r="HA2" i="39"/>
  <c r="GZ2" i="39"/>
  <c r="GY2" i="39"/>
  <c r="GX2" i="39"/>
  <c r="GW2" i="39"/>
  <c r="UC2" i="39"/>
  <c r="TY2" i="39"/>
  <c r="TU2" i="39"/>
  <c r="TQ2" i="39"/>
  <c r="TR2" i="39"/>
  <c r="TS2" i="39"/>
  <c r="B122" i="27"/>
  <c r="TO2" i="39"/>
  <c r="TP2" i="39"/>
  <c r="TN2" i="39"/>
  <c r="TL2" i="39"/>
  <c r="TM2" i="39"/>
  <c r="TK2" i="39"/>
  <c r="TI2" i="39"/>
  <c r="TJ2" i="39"/>
  <c r="TH2" i="39"/>
  <c r="TF2" i="39"/>
  <c r="TG2" i="39"/>
  <c r="TE2" i="39"/>
  <c r="TC2" i="39"/>
  <c r="TD2" i="39"/>
  <c r="TB2" i="39"/>
  <c r="SZ2" i="39"/>
  <c r="TA2" i="39"/>
  <c r="SY2" i="39"/>
  <c r="SW2" i="39"/>
  <c r="SX2" i="39"/>
  <c r="SV2" i="39"/>
  <c r="SU2" i="39"/>
  <c r="ST2" i="39"/>
  <c r="SS2" i="39"/>
  <c r="K110" i="27"/>
  <c r="K109" i="27"/>
  <c r="J110" i="27"/>
  <c r="J109" i="27"/>
  <c r="I110" i="27"/>
  <c r="B110" i="27"/>
  <c r="OV2" i="39"/>
  <c r="OW2" i="39"/>
  <c r="K73" i="27"/>
  <c r="J73" i="27"/>
  <c r="I73" i="27"/>
  <c r="K74" i="27"/>
  <c r="J74" i="27"/>
  <c r="I74" i="27"/>
  <c r="OU2" i="39" s="1"/>
  <c r="B74" i="27"/>
  <c r="JC2" i="39"/>
  <c r="JB2" i="39"/>
  <c r="JA2" i="39"/>
  <c r="HT2" i="39"/>
  <c r="HQ2" i="39"/>
  <c r="HN2" i="39"/>
  <c r="B6" i="27" l="1"/>
  <c r="F7" i="29" l="1"/>
  <c r="G7" i="29" s="1"/>
  <c r="H7" i="29" s="1"/>
  <c r="DS2" i="39" l="1"/>
  <c r="C2" i="42" l="1"/>
  <c r="D2" i="42" s="1"/>
  <c r="E2" i="42" s="1"/>
  <c r="F2" i="42" s="1"/>
  <c r="I2" i="42" l="1"/>
  <c r="J2" i="42" s="1"/>
  <c r="K2" i="42" s="1"/>
  <c r="L2" i="42" s="1"/>
  <c r="M2" i="42" s="1"/>
  <c r="K47" i="12"/>
  <c r="I75" i="4" l="1"/>
  <c r="C19" i="28" l="1"/>
  <c r="UD2" i="39" s="1"/>
  <c r="C17" i="28"/>
  <c r="UB2" i="39" s="1"/>
  <c r="C15" i="28"/>
  <c r="TZ2" i="39" s="1"/>
  <c r="C21" i="28" l="1"/>
  <c r="UF2" i="39" s="1"/>
  <c r="C20" i="28"/>
  <c r="UE2" i="39" s="1"/>
  <c r="C18" i="28"/>
  <c r="F20" i="38" l="1"/>
  <c r="F13" i="38"/>
  <c r="F4" i="38"/>
  <c r="I7" i="29"/>
  <c r="M88" i="26"/>
  <c r="G4" i="38" l="1"/>
  <c r="F5" i="38"/>
  <c r="G13" i="38"/>
  <c r="F14" i="38"/>
  <c r="G20" i="38"/>
  <c r="F21" i="38"/>
  <c r="J14" i="4"/>
  <c r="H13" i="38" l="1"/>
  <c r="G14" i="38"/>
  <c r="H20" i="38"/>
  <c r="G21" i="38"/>
  <c r="H4" i="38"/>
  <c r="G5" i="38"/>
  <c r="FC2" i="39"/>
  <c r="EX2" i="39"/>
  <c r="EW2" i="39"/>
  <c r="EV2" i="39"/>
  <c r="FV2" i="39"/>
  <c r="FM2" i="39"/>
  <c r="L13" i="12"/>
  <c r="G51" i="12"/>
  <c r="G49" i="12"/>
  <c r="G48" i="12"/>
  <c r="G47" i="12"/>
  <c r="FI2" i="39" s="1"/>
  <c r="I20" i="38" l="1"/>
  <c r="H21" i="38"/>
  <c r="I4" i="38"/>
  <c r="H5" i="38"/>
  <c r="P11" i="38" s="1"/>
  <c r="I13" i="38"/>
  <c r="H14" i="38"/>
  <c r="H69" i="40"/>
  <c r="H57" i="40"/>
  <c r="F48" i="40"/>
  <c r="C48" i="40"/>
  <c r="D36" i="40"/>
  <c r="B36" i="40"/>
  <c r="D24" i="40"/>
  <c r="C24" i="40"/>
  <c r="D23" i="40"/>
  <c r="C23" i="40"/>
  <c r="D22" i="40"/>
  <c r="D21" i="40"/>
  <c r="G21" i="40" s="1"/>
  <c r="D20" i="40"/>
  <c r="F14" i="40"/>
  <c r="D14" i="40"/>
  <c r="J13" i="40"/>
  <c r="L36" i="40" s="1"/>
  <c r="D13" i="40"/>
  <c r="B9" i="40"/>
  <c r="F14" i="22"/>
  <c r="E6" i="38" l="1"/>
  <c r="Q11" i="38"/>
  <c r="R11" i="38" s="1"/>
  <c r="C20" i="40"/>
  <c r="J15" i="40"/>
  <c r="GV2" i="39"/>
  <c r="GN2" i="39"/>
  <c r="GF2" i="39"/>
  <c r="FX2" i="39"/>
  <c r="FO2" i="39"/>
  <c r="GU2" i="39"/>
  <c r="GT2" i="39"/>
  <c r="GS2" i="39"/>
  <c r="GR2" i="39"/>
  <c r="GQ2" i="39"/>
  <c r="GP2" i="39"/>
  <c r="GM2" i="39"/>
  <c r="GL2" i="39"/>
  <c r="GK2" i="39"/>
  <c r="GJ2" i="39"/>
  <c r="GI2" i="39"/>
  <c r="GH2" i="39"/>
  <c r="GD2" i="39"/>
  <c r="FZ2" i="39"/>
  <c r="FE2" i="39"/>
  <c r="FD2" i="39"/>
  <c r="FB2" i="39"/>
  <c r="FA2" i="39"/>
  <c r="EZ2" i="39"/>
  <c r="EY2" i="39"/>
  <c r="EU2" i="39"/>
  <c r="ET2" i="39"/>
  <c r="ES2" i="39"/>
  <c r="ER2" i="39"/>
  <c r="EQ2" i="39"/>
  <c r="EP2" i="39"/>
  <c r="EO2" i="39"/>
  <c r="EN2" i="39"/>
  <c r="EM2" i="39"/>
  <c r="EL2" i="39"/>
  <c r="EK2" i="39"/>
  <c r="D108" i="8"/>
  <c r="F108" i="8"/>
  <c r="H108" i="8"/>
  <c r="I108" i="8"/>
  <c r="J108" i="8"/>
  <c r="K108" i="8"/>
  <c r="L108" i="8"/>
  <c r="M108" i="8"/>
  <c r="EB2" i="39"/>
  <c r="EA2" i="39"/>
  <c r="DZ2" i="39"/>
  <c r="DY2" i="39"/>
  <c r="DX2" i="39"/>
  <c r="DW2" i="39"/>
  <c r="DV2" i="39"/>
  <c r="DU2" i="39"/>
  <c r="DT2" i="39"/>
  <c r="DR2" i="39"/>
  <c r="M122" i="26"/>
  <c r="L122" i="26"/>
  <c r="K122" i="26"/>
  <c r="J122" i="26"/>
  <c r="I122" i="26"/>
  <c r="B122" i="26"/>
  <c r="D2" i="39"/>
  <c r="B108" i="8" l="1"/>
  <c r="N108" i="8"/>
  <c r="N122" i="26"/>
  <c r="DL2" i="39" s="1"/>
  <c r="FU2" i="39"/>
  <c r="FQ2" i="39"/>
  <c r="FG2" i="39"/>
  <c r="DM2" i="39"/>
  <c r="EF2" i="39"/>
  <c r="EE2" i="39"/>
  <c r="ED2" i="39"/>
  <c r="EC2" i="39"/>
  <c r="EJ2" i="39"/>
  <c r="EI2" i="39"/>
  <c r="EH2" i="39"/>
  <c r="EG2" i="39"/>
  <c r="DQ2" i="39"/>
  <c r="DP2" i="39"/>
  <c r="DO2" i="39"/>
  <c r="DN2" i="39"/>
  <c r="C2" i="39"/>
  <c r="A2" i="39"/>
  <c r="B2" i="39" l="1"/>
  <c r="J48" i="40" l="1"/>
  <c r="M39" i="4"/>
  <c r="J12" i="4"/>
  <c r="C12" i="4"/>
  <c r="E22" i="38"/>
  <c r="E15" i="38"/>
  <c r="M1" i="33"/>
  <c r="M1" i="32"/>
  <c r="M1" i="31"/>
  <c r="M1" i="35" s="1"/>
  <c r="M1" i="36" s="1"/>
  <c r="M1" i="37" s="1"/>
  <c r="M1" i="38" s="1"/>
  <c r="M1" i="30"/>
  <c r="M1" i="34" s="1"/>
  <c r="I10" i="29"/>
  <c r="H10" i="29"/>
  <c r="G10" i="29"/>
  <c r="I9" i="29"/>
  <c r="H9" i="29"/>
  <c r="G9" i="29"/>
  <c r="F9" i="29"/>
  <c r="C16" i="28"/>
  <c r="UA2" i="39" s="1"/>
  <c r="C14" i="28"/>
  <c r="C13" i="28"/>
  <c r="C12" i="28"/>
  <c r="TW2" i="39" s="1"/>
  <c r="C11" i="28"/>
  <c r="TV2" i="39" s="1"/>
  <c r="C10" i="28"/>
  <c r="C9" i="28"/>
  <c r="B130" i="27"/>
  <c r="B129" i="27"/>
  <c r="B128" i="27"/>
  <c r="B127" i="27"/>
  <c r="B126" i="27"/>
  <c r="B125" i="27"/>
  <c r="B124" i="27"/>
  <c r="B123" i="27"/>
  <c r="K118" i="27"/>
  <c r="J118" i="27"/>
  <c r="I118" i="27"/>
  <c r="B118" i="27"/>
  <c r="K117" i="27"/>
  <c r="J117" i="27"/>
  <c r="I117" i="27"/>
  <c r="B117" i="27"/>
  <c r="K116" i="27"/>
  <c r="J116" i="27"/>
  <c r="I116" i="27"/>
  <c r="B116" i="27"/>
  <c r="K115" i="27"/>
  <c r="J115" i="27"/>
  <c r="I115" i="27"/>
  <c r="B115" i="27"/>
  <c r="K114" i="27"/>
  <c r="J114" i="27"/>
  <c r="I114" i="27"/>
  <c r="B114" i="27"/>
  <c r="K113" i="27"/>
  <c r="J113" i="27"/>
  <c r="I113" i="27"/>
  <c r="B113" i="27"/>
  <c r="K112" i="27"/>
  <c r="J112" i="27"/>
  <c r="I112" i="27"/>
  <c r="L111" i="27" s="1"/>
  <c r="I130" i="27" s="1"/>
  <c r="B112" i="27"/>
  <c r="N111" i="27"/>
  <c r="K130" i="27" s="1"/>
  <c r="M111" i="27"/>
  <c r="J130" i="27" s="1"/>
  <c r="SR2" i="39"/>
  <c r="SQ2" i="39"/>
  <c r="I109" i="27"/>
  <c r="SP2" i="39" s="1"/>
  <c r="B109" i="27"/>
  <c r="K108" i="27"/>
  <c r="SO2" i="39" s="1"/>
  <c r="J108" i="27"/>
  <c r="SN2" i="39" s="1"/>
  <c r="I108" i="27"/>
  <c r="SM2" i="39" s="1"/>
  <c r="B108" i="27"/>
  <c r="K107" i="27"/>
  <c r="SL2" i="39" s="1"/>
  <c r="J107" i="27"/>
  <c r="SK2" i="39" s="1"/>
  <c r="I107" i="27"/>
  <c r="SJ2" i="39" s="1"/>
  <c r="B107" i="27"/>
  <c r="K106" i="27"/>
  <c r="SI2" i="39" s="1"/>
  <c r="J106" i="27"/>
  <c r="SH2" i="39" s="1"/>
  <c r="I106" i="27"/>
  <c r="SG2" i="39" s="1"/>
  <c r="B106" i="27"/>
  <c r="K105" i="27"/>
  <c r="SF2" i="39" s="1"/>
  <c r="J105" i="27"/>
  <c r="SE2" i="39" s="1"/>
  <c r="I105" i="27"/>
  <c r="SD2" i="39" s="1"/>
  <c r="B105" i="27"/>
  <c r="K104" i="27"/>
  <c r="SC2" i="39" s="1"/>
  <c r="J104" i="27"/>
  <c r="SB2" i="39" s="1"/>
  <c r="I104" i="27"/>
  <c r="SA2" i="39" s="1"/>
  <c r="B104" i="27"/>
  <c r="K103" i="27"/>
  <c r="J103" i="27"/>
  <c r="I103" i="27"/>
  <c r="K102" i="27"/>
  <c r="J102" i="27"/>
  <c r="I102" i="27"/>
  <c r="B102" i="27"/>
  <c r="K101" i="27"/>
  <c r="RT2" i="39" s="1"/>
  <c r="J101" i="27"/>
  <c r="RS2" i="39" s="1"/>
  <c r="I101" i="27"/>
  <c r="RR2" i="39" s="1"/>
  <c r="K100" i="27"/>
  <c r="RQ2" i="39" s="1"/>
  <c r="J100" i="27"/>
  <c r="RP2" i="39" s="1"/>
  <c r="I100" i="27"/>
  <c r="RO2" i="39" s="1"/>
  <c r="K99" i="27"/>
  <c r="RN2" i="39" s="1"/>
  <c r="J99" i="27"/>
  <c r="RM2" i="39" s="1"/>
  <c r="I99" i="27"/>
  <c r="RL2" i="39" s="1"/>
  <c r="K98" i="27"/>
  <c r="RK2" i="39" s="1"/>
  <c r="J98" i="27"/>
  <c r="RJ2" i="39" s="1"/>
  <c r="I98" i="27"/>
  <c r="RI2" i="39" s="1"/>
  <c r="B98" i="27"/>
  <c r="K97" i="27"/>
  <c r="RH2" i="39" s="1"/>
  <c r="J97" i="27"/>
  <c r="RG2" i="39" s="1"/>
  <c r="I97" i="27"/>
  <c r="RF2" i="39" s="1"/>
  <c r="B97" i="27"/>
  <c r="K96" i="27"/>
  <c r="RE2" i="39" s="1"/>
  <c r="J96" i="27"/>
  <c r="RD2" i="39" s="1"/>
  <c r="I96" i="27"/>
  <c r="RC2" i="39" s="1"/>
  <c r="B96" i="27"/>
  <c r="K94" i="27"/>
  <c r="QY2" i="39" s="1"/>
  <c r="J94" i="27"/>
  <c r="QX2" i="39" s="1"/>
  <c r="I94" i="27"/>
  <c r="QW2" i="39" s="1"/>
  <c r="B94" i="27"/>
  <c r="K93" i="27"/>
  <c r="QV2" i="39" s="1"/>
  <c r="J93" i="27"/>
  <c r="QU2" i="39" s="1"/>
  <c r="I93" i="27"/>
  <c r="QT2" i="39" s="1"/>
  <c r="B93" i="27"/>
  <c r="K92" i="27"/>
  <c r="QS2" i="39" s="1"/>
  <c r="J92" i="27"/>
  <c r="QR2" i="39" s="1"/>
  <c r="I92" i="27"/>
  <c r="QQ2" i="39" s="1"/>
  <c r="B92" i="27"/>
  <c r="K91" i="27"/>
  <c r="QP2" i="39" s="1"/>
  <c r="J91" i="27"/>
  <c r="QO2" i="39" s="1"/>
  <c r="I91" i="27"/>
  <c r="QN2" i="39" s="1"/>
  <c r="B91" i="27"/>
  <c r="K90" i="27"/>
  <c r="QM2" i="39" s="1"/>
  <c r="J90" i="27"/>
  <c r="QL2" i="39" s="1"/>
  <c r="I90" i="27"/>
  <c r="QK2" i="39" s="1"/>
  <c r="B90" i="27"/>
  <c r="K89" i="27"/>
  <c r="QJ2" i="39" s="1"/>
  <c r="J89" i="27"/>
  <c r="QI2" i="39" s="1"/>
  <c r="I89" i="27"/>
  <c r="QH2" i="39" s="1"/>
  <c r="B89" i="27"/>
  <c r="K88" i="27"/>
  <c r="QG2" i="39" s="1"/>
  <c r="J88" i="27"/>
  <c r="QF2" i="39" s="1"/>
  <c r="I88" i="27"/>
  <c r="QE2" i="39" s="1"/>
  <c r="B88" i="27"/>
  <c r="K87" i="27"/>
  <c r="QD2" i="39" s="1"/>
  <c r="J87" i="27"/>
  <c r="QC2" i="39" s="1"/>
  <c r="I87" i="27"/>
  <c r="QB2" i="39" s="1"/>
  <c r="B87" i="27"/>
  <c r="K86" i="27"/>
  <c r="QA2" i="39" s="1"/>
  <c r="J86" i="27"/>
  <c r="PZ2" i="39" s="1"/>
  <c r="I86" i="27"/>
  <c r="PY2" i="39" s="1"/>
  <c r="B86" i="27"/>
  <c r="K85" i="27"/>
  <c r="J85" i="27"/>
  <c r="I85" i="27"/>
  <c r="B85" i="27"/>
  <c r="K82" i="27"/>
  <c r="PR2" i="39" s="1"/>
  <c r="J82" i="27"/>
  <c r="PQ2" i="39" s="1"/>
  <c r="I82" i="27"/>
  <c r="PP2" i="39" s="1"/>
  <c r="B82" i="27"/>
  <c r="K81" i="27"/>
  <c r="PO2" i="39" s="1"/>
  <c r="J81" i="27"/>
  <c r="PN2" i="39" s="1"/>
  <c r="I81" i="27"/>
  <c r="PM2" i="39" s="1"/>
  <c r="B81" i="27"/>
  <c r="K80" i="27"/>
  <c r="PL2" i="39" s="1"/>
  <c r="J80" i="27"/>
  <c r="PK2" i="39" s="1"/>
  <c r="I80" i="27"/>
  <c r="PJ2" i="39" s="1"/>
  <c r="B80" i="27"/>
  <c r="K79" i="27"/>
  <c r="J79" i="27"/>
  <c r="I79" i="27"/>
  <c r="B79" i="27"/>
  <c r="K78" i="27"/>
  <c r="PI2" i="39" s="1"/>
  <c r="J78" i="27"/>
  <c r="PH2" i="39" s="1"/>
  <c r="I78" i="27"/>
  <c r="PG2" i="39" s="1"/>
  <c r="B78" i="27"/>
  <c r="K77" i="27"/>
  <c r="PF2" i="39" s="1"/>
  <c r="J77" i="27"/>
  <c r="PE2" i="39" s="1"/>
  <c r="I77" i="27"/>
  <c r="PD2" i="39" s="1"/>
  <c r="B77" i="27"/>
  <c r="K76" i="27"/>
  <c r="PC2" i="39" s="1"/>
  <c r="J76" i="27"/>
  <c r="PB2" i="39" s="1"/>
  <c r="I76" i="27"/>
  <c r="PA2" i="39" s="1"/>
  <c r="B76" i="27"/>
  <c r="K75" i="27"/>
  <c r="OZ2" i="39" s="1"/>
  <c r="J75" i="27"/>
  <c r="OY2" i="39" s="1"/>
  <c r="I75" i="27"/>
  <c r="OX2" i="39" s="1"/>
  <c r="B75" i="27"/>
  <c r="OT2" i="39"/>
  <c r="OS2" i="39"/>
  <c r="OR2" i="39"/>
  <c r="B73" i="27"/>
  <c r="K72" i="27"/>
  <c r="J72" i="27"/>
  <c r="I72" i="27"/>
  <c r="OO2" i="39" s="1"/>
  <c r="B72" i="27"/>
  <c r="K69" i="27"/>
  <c r="OK2" i="39" s="1"/>
  <c r="J69" i="27"/>
  <c r="OJ2" i="39" s="1"/>
  <c r="I69" i="27"/>
  <c r="OI2" i="39" s="1"/>
  <c r="B69" i="27"/>
  <c r="K68" i="27"/>
  <c r="OH2" i="39" s="1"/>
  <c r="J68" i="27"/>
  <c r="OG2" i="39" s="1"/>
  <c r="I68" i="27"/>
  <c r="OF2" i="39" s="1"/>
  <c r="B68" i="27"/>
  <c r="K67" i="27"/>
  <c r="OE2" i="39" s="1"/>
  <c r="J67" i="27"/>
  <c r="OD2" i="39" s="1"/>
  <c r="I67" i="27"/>
  <c r="OC2" i="39" s="1"/>
  <c r="B67" i="27"/>
  <c r="K66" i="27"/>
  <c r="OB2" i="39" s="1"/>
  <c r="J66" i="27"/>
  <c r="OA2" i="39" s="1"/>
  <c r="I66" i="27"/>
  <c r="NZ2" i="39" s="1"/>
  <c r="B66" i="27"/>
  <c r="K65" i="27"/>
  <c r="NY2" i="39" s="1"/>
  <c r="J65" i="27"/>
  <c r="NX2" i="39" s="1"/>
  <c r="I65" i="27"/>
  <c r="B65" i="27"/>
  <c r="K61" i="27"/>
  <c r="NS2" i="39" s="1"/>
  <c r="J61" i="27"/>
  <c r="NR2" i="39" s="1"/>
  <c r="I61" i="27"/>
  <c r="NQ2" i="39" s="1"/>
  <c r="B61" i="27"/>
  <c r="K60" i="27"/>
  <c r="NP2" i="39" s="1"/>
  <c r="J60" i="27"/>
  <c r="NO2" i="39" s="1"/>
  <c r="I60" i="27"/>
  <c r="NN2" i="39" s="1"/>
  <c r="B60" i="27"/>
  <c r="K59" i="27"/>
  <c r="NM2" i="39" s="1"/>
  <c r="J59" i="27"/>
  <c r="NL2" i="39" s="1"/>
  <c r="I59" i="27"/>
  <c r="NK2" i="39" s="1"/>
  <c r="B59" i="27"/>
  <c r="K58" i="27"/>
  <c r="NJ2" i="39" s="1"/>
  <c r="J58" i="27"/>
  <c r="NI2" i="39" s="1"/>
  <c r="I58" i="27"/>
  <c r="NH2" i="39" s="1"/>
  <c r="B58" i="27"/>
  <c r="K57" i="27"/>
  <c r="NG2" i="39" s="1"/>
  <c r="J57" i="27"/>
  <c r="NF2" i="39" s="1"/>
  <c r="I57" i="27"/>
  <c r="NE2" i="39" s="1"/>
  <c r="B57" i="27"/>
  <c r="K56" i="27"/>
  <c r="ND2" i="39" s="1"/>
  <c r="J56" i="27"/>
  <c r="NC2" i="39" s="1"/>
  <c r="I56" i="27"/>
  <c r="NB2" i="39" s="1"/>
  <c r="B56" i="27"/>
  <c r="K55" i="27"/>
  <c r="NA2" i="39" s="1"/>
  <c r="J55" i="27"/>
  <c r="MZ2" i="39" s="1"/>
  <c r="I55" i="27"/>
  <c r="MY2" i="39" s="1"/>
  <c r="B55" i="27"/>
  <c r="K54" i="27"/>
  <c r="MX2" i="39" s="1"/>
  <c r="J54" i="27"/>
  <c r="MW2" i="39" s="1"/>
  <c r="I54" i="27"/>
  <c r="MV2" i="39" s="1"/>
  <c r="B54" i="27"/>
  <c r="K53" i="27"/>
  <c r="MU2" i="39" s="1"/>
  <c r="J53" i="27"/>
  <c r="MT2" i="39" s="1"/>
  <c r="I53" i="27"/>
  <c r="MS2" i="39" s="1"/>
  <c r="B53" i="27"/>
  <c r="K52" i="27"/>
  <c r="MR2" i="39" s="1"/>
  <c r="J52" i="27"/>
  <c r="MQ2" i="39" s="1"/>
  <c r="I52" i="27"/>
  <c r="MP2" i="39" s="1"/>
  <c r="B52" i="27"/>
  <c r="N51" i="27"/>
  <c r="M51" i="27"/>
  <c r="L51" i="27"/>
  <c r="K50" i="27"/>
  <c r="ML2" i="39" s="1"/>
  <c r="J50" i="27"/>
  <c r="MK2" i="39" s="1"/>
  <c r="I50" i="27"/>
  <c r="MJ2" i="39" s="1"/>
  <c r="B50" i="27"/>
  <c r="K49" i="27"/>
  <c r="MI2" i="39" s="1"/>
  <c r="J49" i="27"/>
  <c r="MH2" i="39" s="1"/>
  <c r="I49" i="27"/>
  <c r="MG2" i="39" s="1"/>
  <c r="B49" i="27"/>
  <c r="K48" i="27"/>
  <c r="MF2" i="39" s="1"/>
  <c r="J48" i="27"/>
  <c r="ME2" i="39" s="1"/>
  <c r="I48" i="27"/>
  <c r="MD2" i="39" s="1"/>
  <c r="B48" i="27"/>
  <c r="K47" i="27"/>
  <c r="MC2" i="39" s="1"/>
  <c r="J47" i="27"/>
  <c r="MB2" i="39" s="1"/>
  <c r="I47" i="27"/>
  <c r="MA2" i="39" s="1"/>
  <c r="B47" i="27"/>
  <c r="K46" i="27"/>
  <c r="LZ2" i="39" s="1"/>
  <c r="J46" i="27"/>
  <c r="LY2" i="39" s="1"/>
  <c r="I46" i="27"/>
  <c r="LX2" i="39" s="1"/>
  <c r="B46" i="27"/>
  <c r="K45" i="27"/>
  <c r="LW2" i="39" s="1"/>
  <c r="J45" i="27"/>
  <c r="LV2" i="39" s="1"/>
  <c r="I45" i="27"/>
  <c r="LU2" i="39" s="1"/>
  <c r="B45" i="27"/>
  <c r="K44" i="27"/>
  <c r="LT2" i="39" s="1"/>
  <c r="J44" i="27"/>
  <c r="LS2" i="39" s="1"/>
  <c r="I44" i="27"/>
  <c r="LR2" i="39" s="1"/>
  <c r="B44" i="27"/>
  <c r="K43" i="27"/>
  <c r="LQ2" i="39" s="1"/>
  <c r="J43" i="27"/>
  <c r="LP2" i="39" s="1"/>
  <c r="I43" i="27"/>
  <c r="LO2" i="39" s="1"/>
  <c r="B43" i="27"/>
  <c r="K42" i="27"/>
  <c r="LN2" i="39" s="1"/>
  <c r="J42" i="27"/>
  <c r="LM2" i="39" s="1"/>
  <c r="I42" i="27"/>
  <c r="LL2" i="39" s="1"/>
  <c r="B42" i="27"/>
  <c r="K41" i="27"/>
  <c r="LK2" i="39" s="1"/>
  <c r="J41" i="27"/>
  <c r="LJ2" i="39" s="1"/>
  <c r="I41" i="27"/>
  <c r="LI2" i="39" s="1"/>
  <c r="B41" i="27"/>
  <c r="K40" i="27"/>
  <c r="LH2" i="39" s="1"/>
  <c r="J40" i="27"/>
  <c r="LG2" i="39" s="1"/>
  <c r="I40" i="27"/>
  <c r="LF2" i="39" s="1"/>
  <c r="B40" i="27"/>
  <c r="K39" i="27"/>
  <c r="J39" i="27"/>
  <c r="I39" i="27"/>
  <c r="K38" i="27"/>
  <c r="LB2" i="39" s="1"/>
  <c r="J38" i="27"/>
  <c r="LA2" i="39" s="1"/>
  <c r="I38" i="27"/>
  <c r="KZ2" i="39" s="1"/>
  <c r="B38" i="27"/>
  <c r="K37" i="27"/>
  <c r="KY2" i="39" s="1"/>
  <c r="J37" i="27"/>
  <c r="KX2" i="39" s="1"/>
  <c r="I37" i="27"/>
  <c r="KW2" i="39" s="1"/>
  <c r="K36" i="27"/>
  <c r="KV2" i="39" s="1"/>
  <c r="J36" i="27"/>
  <c r="KU2" i="39" s="1"/>
  <c r="I36" i="27"/>
  <c r="KT2" i="39" s="1"/>
  <c r="B36" i="27"/>
  <c r="K34" i="27"/>
  <c r="KP2" i="39" s="1"/>
  <c r="J34" i="27"/>
  <c r="KO2" i="39" s="1"/>
  <c r="I34" i="27"/>
  <c r="KN2" i="39" s="1"/>
  <c r="B34" i="27"/>
  <c r="K33" i="27"/>
  <c r="KM2" i="39" s="1"/>
  <c r="J33" i="27"/>
  <c r="KL2" i="39" s="1"/>
  <c r="I33" i="27"/>
  <c r="KK2" i="39" s="1"/>
  <c r="B33" i="27"/>
  <c r="K32" i="27"/>
  <c r="KJ2" i="39" s="1"/>
  <c r="J32" i="27"/>
  <c r="KI2" i="39" s="1"/>
  <c r="I32" i="27"/>
  <c r="KH2" i="39" s="1"/>
  <c r="B32" i="27"/>
  <c r="K31" i="27"/>
  <c r="KG2" i="39" s="1"/>
  <c r="J31" i="27"/>
  <c r="KF2" i="39" s="1"/>
  <c r="I31" i="27"/>
  <c r="KE2" i="39" s="1"/>
  <c r="B31" i="27"/>
  <c r="K30" i="27"/>
  <c r="KD2" i="39" s="1"/>
  <c r="J30" i="27"/>
  <c r="KC2" i="39" s="1"/>
  <c r="I30" i="27"/>
  <c r="KB2" i="39" s="1"/>
  <c r="B30" i="27"/>
  <c r="N29" i="27"/>
  <c r="KA2" i="39" s="1"/>
  <c r="M29" i="27"/>
  <c r="JZ2" i="39" s="1"/>
  <c r="L29" i="27"/>
  <c r="JY2" i="39" s="1"/>
  <c r="K28" i="27"/>
  <c r="JX2" i="39" s="1"/>
  <c r="J28" i="27"/>
  <c r="JW2" i="39" s="1"/>
  <c r="I28" i="27"/>
  <c r="JV2" i="39" s="1"/>
  <c r="B28" i="27"/>
  <c r="N27" i="27"/>
  <c r="JU2" i="39" s="1"/>
  <c r="M27" i="27"/>
  <c r="JT2" i="39" s="1"/>
  <c r="L27" i="27"/>
  <c r="JS2" i="39" s="1"/>
  <c r="K26" i="27"/>
  <c r="JR2" i="39" s="1"/>
  <c r="J26" i="27"/>
  <c r="JQ2" i="39" s="1"/>
  <c r="I26" i="27"/>
  <c r="JP2" i="39" s="1"/>
  <c r="B26" i="27"/>
  <c r="K25" i="27"/>
  <c r="JO2" i="39" s="1"/>
  <c r="J25" i="27"/>
  <c r="JN2" i="39" s="1"/>
  <c r="I25" i="27"/>
  <c r="JM2" i="39" s="1"/>
  <c r="B25" i="27"/>
  <c r="M24" i="27"/>
  <c r="JK2" i="39" s="1"/>
  <c r="K23" i="27"/>
  <c r="JI2" i="39" s="1"/>
  <c r="J23" i="27"/>
  <c r="JH2" i="39" s="1"/>
  <c r="I23" i="27"/>
  <c r="JG2" i="39" s="1"/>
  <c r="B23" i="27"/>
  <c r="N22" i="27"/>
  <c r="JF2" i="39" s="1"/>
  <c r="M22" i="27"/>
  <c r="JE2" i="39" s="1"/>
  <c r="L22" i="27"/>
  <c r="JD2" i="39" s="1"/>
  <c r="K21" i="27"/>
  <c r="IZ2" i="39" s="1"/>
  <c r="J21" i="27"/>
  <c r="IY2" i="39" s="1"/>
  <c r="I21" i="27"/>
  <c r="IX2" i="39" s="1"/>
  <c r="B21" i="27"/>
  <c r="K20" i="27"/>
  <c r="IW2" i="39" s="1"/>
  <c r="J20" i="27"/>
  <c r="IV2" i="39" s="1"/>
  <c r="I20" i="27"/>
  <c r="IU2" i="39" s="1"/>
  <c r="B20" i="27"/>
  <c r="K19" i="27"/>
  <c r="IT2" i="39" s="1"/>
  <c r="J19" i="27"/>
  <c r="IS2" i="39" s="1"/>
  <c r="I19" i="27"/>
  <c r="IR2" i="39" s="1"/>
  <c r="B19" i="27"/>
  <c r="K18" i="27"/>
  <c r="IQ2" i="39" s="1"/>
  <c r="J18" i="27"/>
  <c r="IP2" i="39" s="1"/>
  <c r="I18" i="27"/>
  <c r="IO2" i="39" s="1"/>
  <c r="K17" i="27"/>
  <c r="J17" i="27"/>
  <c r="IM2" i="39" s="1"/>
  <c r="I17" i="27"/>
  <c r="B17" i="27"/>
  <c r="K16" i="27"/>
  <c r="IK2" i="39" s="1"/>
  <c r="J16" i="27"/>
  <c r="IJ2" i="39" s="1"/>
  <c r="I16" i="27"/>
  <c r="II2" i="39" s="1"/>
  <c r="K15" i="27"/>
  <c r="IH2" i="39" s="1"/>
  <c r="J15" i="27"/>
  <c r="IG2" i="39" s="1"/>
  <c r="I15" i="27"/>
  <c r="IF2" i="39" s="1"/>
  <c r="K14" i="27"/>
  <c r="IE2" i="39" s="1"/>
  <c r="J14" i="27"/>
  <c r="ID2" i="39" s="1"/>
  <c r="I14" i="27"/>
  <c r="IC2" i="39" s="1"/>
  <c r="B14" i="27"/>
  <c r="K10" i="27"/>
  <c r="J10" i="27"/>
  <c r="I10" i="27"/>
  <c r="B10" i="27"/>
  <c r="K9" i="27"/>
  <c r="J9" i="27"/>
  <c r="I9" i="27"/>
  <c r="B9" i="27"/>
  <c r="K8" i="27"/>
  <c r="J8" i="27"/>
  <c r="I8" i="27"/>
  <c r="B8" i="27"/>
  <c r="K7" i="27"/>
  <c r="HM2" i="39" s="1"/>
  <c r="J7" i="27"/>
  <c r="HL2" i="39" s="1"/>
  <c r="I7" i="27"/>
  <c r="HK2" i="39" s="1"/>
  <c r="B7" i="27"/>
  <c r="K6" i="27"/>
  <c r="HJ2" i="39" s="1"/>
  <c r="J6" i="27"/>
  <c r="HI2" i="39" s="1"/>
  <c r="I6" i="27"/>
  <c r="HH2" i="39" s="1"/>
  <c r="K5" i="27"/>
  <c r="HG2" i="39" s="1"/>
  <c r="J5" i="27"/>
  <c r="HF2" i="39" s="1"/>
  <c r="I5" i="27"/>
  <c r="HE2" i="39" s="1"/>
  <c r="B5" i="27"/>
  <c r="B133" i="26"/>
  <c r="S17" i="28" s="1"/>
  <c r="B132" i="26"/>
  <c r="S16" i="28" s="1"/>
  <c r="B131" i="26"/>
  <c r="S15" i="28" s="1"/>
  <c r="B130" i="26"/>
  <c r="S14" i="28" s="1"/>
  <c r="B129" i="26"/>
  <c r="S13" i="28" s="1"/>
  <c r="B128" i="26"/>
  <c r="S12" i="28" s="1"/>
  <c r="B127" i="26"/>
  <c r="S11" i="28" s="1"/>
  <c r="B126" i="26"/>
  <c r="S10" i="28" s="1"/>
  <c r="B125" i="26"/>
  <c r="S9" i="28" s="1"/>
  <c r="M121" i="26"/>
  <c r="L121" i="26"/>
  <c r="K121" i="26"/>
  <c r="J121" i="26"/>
  <c r="I121" i="26"/>
  <c r="B121" i="26"/>
  <c r="M120" i="26"/>
  <c r="L120" i="26"/>
  <c r="K120" i="26"/>
  <c r="J120" i="26"/>
  <c r="I120" i="26"/>
  <c r="B120" i="26"/>
  <c r="M119" i="26"/>
  <c r="L119" i="26"/>
  <c r="K119" i="26"/>
  <c r="J119" i="26"/>
  <c r="I119" i="26"/>
  <c r="B119" i="26"/>
  <c r="M118" i="26"/>
  <c r="L118" i="26"/>
  <c r="K118" i="26"/>
  <c r="J118" i="26"/>
  <c r="I118" i="26"/>
  <c r="B118" i="26"/>
  <c r="M117" i="26"/>
  <c r="L117" i="26"/>
  <c r="K117" i="26"/>
  <c r="J117" i="26"/>
  <c r="I117" i="26"/>
  <c r="B117" i="26"/>
  <c r="M116" i="26"/>
  <c r="L116" i="26"/>
  <c r="K116" i="26"/>
  <c r="J116" i="26"/>
  <c r="I116" i="26"/>
  <c r="B116" i="26"/>
  <c r="M115" i="26"/>
  <c r="L115" i="26"/>
  <c r="K115" i="26"/>
  <c r="J115" i="26"/>
  <c r="I115" i="26"/>
  <c r="B115" i="26"/>
  <c r="M113" i="26"/>
  <c r="L113" i="26"/>
  <c r="K113" i="26"/>
  <c r="J113" i="26"/>
  <c r="I113" i="26"/>
  <c r="B113" i="26"/>
  <c r="M112" i="26"/>
  <c r="L112" i="26"/>
  <c r="K112" i="26"/>
  <c r="J112" i="26"/>
  <c r="I112" i="26"/>
  <c r="B112" i="26"/>
  <c r="M111" i="26"/>
  <c r="L111" i="26"/>
  <c r="K111" i="26"/>
  <c r="J111" i="26"/>
  <c r="I111" i="26"/>
  <c r="B111" i="26"/>
  <c r="M110" i="26"/>
  <c r="L110" i="26"/>
  <c r="K110" i="26"/>
  <c r="J110" i="26"/>
  <c r="I110" i="26"/>
  <c r="B110" i="26"/>
  <c r="M109" i="26"/>
  <c r="L109" i="26"/>
  <c r="K109" i="26"/>
  <c r="J109" i="26"/>
  <c r="I109" i="26"/>
  <c r="B109" i="26"/>
  <c r="M108" i="26"/>
  <c r="L108" i="26"/>
  <c r="K108" i="26"/>
  <c r="J108" i="26"/>
  <c r="I108" i="26"/>
  <c r="B108" i="26"/>
  <c r="M107" i="26"/>
  <c r="L107" i="26"/>
  <c r="K107" i="26"/>
  <c r="J107" i="26"/>
  <c r="I107" i="26"/>
  <c r="B107" i="26"/>
  <c r="M106" i="26"/>
  <c r="L106" i="26"/>
  <c r="K106" i="26"/>
  <c r="J106" i="26"/>
  <c r="I106" i="26"/>
  <c r="M105" i="26"/>
  <c r="L105" i="26"/>
  <c r="K105" i="26"/>
  <c r="J105" i="26"/>
  <c r="I105" i="26"/>
  <c r="B105" i="26"/>
  <c r="M104" i="26"/>
  <c r="L104" i="26"/>
  <c r="K104" i="26"/>
  <c r="J104" i="26"/>
  <c r="I104" i="26"/>
  <c r="M103" i="26"/>
  <c r="L103" i="26"/>
  <c r="K103" i="26"/>
  <c r="J103" i="26"/>
  <c r="I103" i="26"/>
  <c r="M102" i="26"/>
  <c r="L102" i="26"/>
  <c r="K102" i="26"/>
  <c r="J102" i="26"/>
  <c r="I102" i="26"/>
  <c r="M101" i="26"/>
  <c r="L101" i="26"/>
  <c r="K101" i="26"/>
  <c r="J101" i="26"/>
  <c r="I101" i="26"/>
  <c r="B101" i="26"/>
  <c r="M100" i="26"/>
  <c r="L100" i="26"/>
  <c r="K100" i="26"/>
  <c r="J100" i="26"/>
  <c r="I100" i="26"/>
  <c r="B100" i="26"/>
  <c r="M99" i="26"/>
  <c r="L99" i="26"/>
  <c r="K99" i="26"/>
  <c r="J99" i="26"/>
  <c r="I99" i="26"/>
  <c r="B99" i="26"/>
  <c r="M97" i="26"/>
  <c r="L97" i="26"/>
  <c r="K97" i="26"/>
  <c r="J97" i="26"/>
  <c r="I97" i="26"/>
  <c r="B97" i="26"/>
  <c r="M96" i="26"/>
  <c r="L96" i="26"/>
  <c r="K96" i="26"/>
  <c r="J96" i="26"/>
  <c r="I96" i="26"/>
  <c r="B96" i="26"/>
  <c r="M95" i="26"/>
  <c r="L95" i="26"/>
  <c r="K95" i="26"/>
  <c r="J95" i="26"/>
  <c r="I95" i="26"/>
  <c r="B95" i="26"/>
  <c r="M94" i="26"/>
  <c r="L94" i="26"/>
  <c r="K94" i="26"/>
  <c r="J94" i="26"/>
  <c r="I94" i="26"/>
  <c r="B94" i="26"/>
  <c r="M93" i="26"/>
  <c r="L93" i="26"/>
  <c r="K93" i="26"/>
  <c r="J93" i="26"/>
  <c r="I93" i="26"/>
  <c r="B93" i="26"/>
  <c r="M92" i="26"/>
  <c r="L92" i="26"/>
  <c r="K92" i="26"/>
  <c r="J92" i="26"/>
  <c r="I92" i="26"/>
  <c r="B92" i="26"/>
  <c r="M91" i="26"/>
  <c r="L91" i="26"/>
  <c r="K91" i="26"/>
  <c r="J91" i="26"/>
  <c r="I91" i="26"/>
  <c r="B91" i="26"/>
  <c r="M90" i="26"/>
  <c r="L90" i="26"/>
  <c r="K90" i="26"/>
  <c r="J90" i="26"/>
  <c r="I90" i="26"/>
  <c r="B90" i="26"/>
  <c r="M89" i="26"/>
  <c r="L89" i="26"/>
  <c r="K89" i="26"/>
  <c r="J89" i="26"/>
  <c r="I89" i="26"/>
  <c r="B89" i="26"/>
  <c r="L88" i="26"/>
  <c r="K88" i="26"/>
  <c r="J88" i="26"/>
  <c r="I88" i="26"/>
  <c r="B88" i="26"/>
  <c r="M86" i="26"/>
  <c r="L86" i="26"/>
  <c r="K86" i="26"/>
  <c r="J86" i="26"/>
  <c r="I86" i="26"/>
  <c r="B86" i="26"/>
  <c r="M85" i="26"/>
  <c r="L85" i="26"/>
  <c r="K85" i="26"/>
  <c r="J85" i="26"/>
  <c r="I85" i="26"/>
  <c r="B85" i="26"/>
  <c r="M84" i="26"/>
  <c r="L84" i="26"/>
  <c r="K84" i="26"/>
  <c r="J84" i="26"/>
  <c r="I84" i="26"/>
  <c r="B84" i="26"/>
  <c r="M83" i="26"/>
  <c r="L83" i="26"/>
  <c r="K83" i="26"/>
  <c r="J83" i="26"/>
  <c r="I83" i="26"/>
  <c r="B83" i="26"/>
  <c r="M82" i="26"/>
  <c r="L82" i="26"/>
  <c r="K82" i="26"/>
  <c r="J82" i="26"/>
  <c r="I82" i="26"/>
  <c r="B82" i="26"/>
  <c r="M81" i="26"/>
  <c r="L81" i="26"/>
  <c r="K81" i="26"/>
  <c r="J81" i="26"/>
  <c r="I81" i="26"/>
  <c r="B81" i="26"/>
  <c r="M80" i="26"/>
  <c r="L80" i="26"/>
  <c r="K80" i="26"/>
  <c r="J80" i="26"/>
  <c r="I80" i="26"/>
  <c r="B80" i="26"/>
  <c r="M79" i="26"/>
  <c r="L79" i="26"/>
  <c r="K79" i="26"/>
  <c r="J79" i="26"/>
  <c r="I79" i="26"/>
  <c r="B79" i="26"/>
  <c r="M78" i="26"/>
  <c r="L78" i="26"/>
  <c r="K78" i="26"/>
  <c r="J78" i="26"/>
  <c r="I78" i="26"/>
  <c r="B78" i="26"/>
  <c r="M77" i="26"/>
  <c r="L77" i="26"/>
  <c r="K77" i="26"/>
  <c r="J77" i="26"/>
  <c r="I77" i="26"/>
  <c r="B77" i="26"/>
  <c r="M76" i="26"/>
  <c r="L76" i="26"/>
  <c r="K76" i="26"/>
  <c r="J76" i="26"/>
  <c r="I76" i="26"/>
  <c r="B76" i="26"/>
  <c r="N74" i="26"/>
  <c r="M73" i="26"/>
  <c r="L73" i="26"/>
  <c r="K73" i="26"/>
  <c r="J73" i="26"/>
  <c r="I73" i="26"/>
  <c r="B73" i="26"/>
  <c r="M72" i="26"/>
  <c r="L72" i="26"/>
  <c r="K72" i="26"/>
  <c r="J72" i="26"/>
  <c r="I72" i="26"/>
  <c r="B72" i="26"/>
  <c r="M71" i="26"/>
  <c r="L71" i="26"/>
  <c r="K71" i="26"/>
  <c r="J71" i="26"/>
  <c r="I71" i="26"/>
  <c r="B71" i="26"/>
  <c r="M70" i="26"/>
  <c r="L70" i="26"/>
  <c r="K70" i="26"/>
  <c r="J70" i="26"/>
  <c r="I70" i="26"/>
  <c r="B70" i="26"/>
  <c r="M69" i="26"/>
  <c r="L69" i="26"/>
  <c r="K69" i="26"/>
  <c r="J69" i="26"/>
  <c r="I69" i="26"/>
  <c r="B69" i="26"/>
  <c r="N67" i="26"/>
  <c r="N66" i="26"/>
  <c r="M65" i="26"/>
  <c r="L65" i="26"/>
  <c r="K65" i="26"/>
  <c r="J65" i="26"/>
  <c r="I65" i="26"/>
  <c r="B65" i="26"/>
  <c r="M64" i="26"/>
  <c r="L64" i="26"/>
  <c r="K64" i="26"/>
  <c r="J64" i="26"/>
  <c r="I64" i="26"/>
  <c r="B64" i="26"/>
  <c r="M63" i="26"/>
  <c r="L63" i="26"/>
  <c r="K63" i="26"/>
  <c r="J63" i="26"/>
  <c r="I63" i="26"/>
  <c r="B63" i="26"/>
  <c r="M62" i="26"/>
  <c r="L62" i="26"/>
  <c r="K62" i="26"/>
  <c r="J62" i="26"/>
  <c r="I62" i="26"/>
  <c r="B62" i="26"/>
  <c r="M61" i="26"/>
  <c r="L61" i="26"/>
  <c r="K61" i="26"/>
  <c r="J61" i="26"/>
  <c r="I61" i="26"/>
  <c r="B61" i="26"/>
  <c r="M60" i="26"/>
  <c r="L60" i="26"/>
  <c r="K60" i="26"/>
  <c r="J60" i="26"/>
  <c r="I60" i="26"/>
  <c r="B60" i="26"/>
  <c r="M59" i="26"/>
  <c r="L59" i="26"/>
  <c r="K59" i="26"/>
  <c r="J59" i="26"/>
  <c r="I59" i="26"/>
  <c r="B59" i="26"/>
  <c r="M58" i="26"/>
  <c r="L58" i="26"/>
  <c r="K58" i="26"/>
  <c r="J58" i="26"/>
  <c r="I58" i="26"/>
  <c r="B58" i="26"/>
  <c r="M57" i="26"/>
  <c r="L57" i="26"/>
  <c r="K57" i="26"/>
  <c r="J57" i="26"/>
  <c r="I57" i="26"/>
  <c r="B57" i="26"/>
  <c r="M56" i="26"/>
  <c r="L56" i="26"/>
  <c r="K56" i="26"/>
  <c r="J56" i="26"/>
  <c r="I56" i="26"/>
  <c r="B56" i="26"/>
  <c r="M54" i="26"/>
  <c r="L54" i="26"/>
  <c r="K54" i="26"/>
  <c r="J54" i="26"/>
  <c r="I54" i="26"/>
  <c r="B54" i="26"/>
  <c r="M53" i="26"/>
  <c r="L53" i="26"/>
  <c r="K53" i="26"/>
  <c r="J53" i="26"/>
  <c r="I53" i="26"/>
  <c r="B53" i="26"/>
  <c r="M52" i="26"/>
  <c r="L52" i="26"/>
  <c r="K52" i="26"/>
  <c r="J52" i="26"/>
  <c r="I52" i="26"/>
  <c r="M51" i="26"/>
  <c r="L51" i="26"/>
  <c r="K51" i="26"/>
  <c r="J51" i="26"/>
  <c r="I51" i="26"/>
  <c r="B51" i="26"/>
  <c r="M50" i="26"/>
  <c r="L50" i="26"/>
  <c r="K50" i="26"/>
  <c r="J50" i="26"/>
  <c r="I50" i="26"/>
  <c r="B50" i="26"/>
  <c r="M49" i="26"/>
  <c r="L49" i="26"/>
  <c r="K49" i="26"/>
  <c r="J49" i="26"/>
  <c r="I49" i="26"/>
  <c r="B49" i="26"/>
  <c r="M48" i="26"/>
  <c r="L48" i="26"/>
  <c r="K48" i="26"/>
  <c r="J48" i="26"/>
  <c r="I48" i="26"/>
  <c r="B48" i="26"/>
  <c r="M47" i="26"/>
  <c r="L47" i="26"/>
  <c r="K47" i="26"/>
  <c r="J47" i="26"/>
  <c r="I47" i="26"/>
  <c r="B47" i="26"/>
  <c r="M46" i="26"/>
  <c r="L46" i="26"/>
  <c r="K46" i="26"/>
  <c r="J46" i="26"/>
  <c r="I46" i="26"/>
  <c r="B46" i="26"/>
  <c r="M45" i="26"/>
  <c r="L45" i="26"/>
  <c r="K45" i="26"/>
  <c r="J45" i="26"/>
  <c r="I45" i="26"/>
  <c r="B45" i="26"/>
  <c r="M44" i="26"/>
  <c r="L44" i="26"/>
  <c r="K44" i="26"/>
  <c r="J44" i="26"/>
  <c r="I44" i="26"/>
  <c r="B44" i="26"/>
  <c r="M43" i="26"/>
  <c r="L43" i="26"/>
  <c r="K43" i="26"/>
  <c r="J43" i="26"/>
  <c r="I43" i="26"/>
  <c r="M42" i="26"/>
  <c r="L42" i="26"/>
  <c r="K42" i="26"/>
  <c r="J42" i="26"/>
  <c r="I42" i="26"/>
  <c r="B42" i="26"/>
  <c r="M41" i="26"/>
  <c r="L41" i="26"/>
  <c r="K41" i="26"/>
  <c r="J41" i="26"/>
  <c r="I41" i="26"/>
  <c r="M40" i="26"/>
  <c r="L40" i="26"/>
  <c r="K40" i="26"/>
  <c r="J40" i="26"/>
  <c r="I40" i="26"/>
  <c r="B40" i="26"/>
  <c r="M38" i="26"/>
  <c r="L38" i="26"/>
  <c r="K38" i="26"/>
  <c r="J38" i="26"/>
  <c r="I38" i="26"/>
  <c r="B38" i="26"/>
  <c r="M37" i="26"/>
  <c r="L37" i="26"/>
  <c r="K37" i="26"/>
  <c r="J37" i="26"/>
  <c r="I37" i="26"/>
  <c r="B37" i="26"/>
  <c r="M36" i="26"/>
  <c r="L36" i="26"/>
  <c r="K36" i="26"/>
  <c r="J36" i="26"/>
  <c r="I36" i="26"/>
  <c r="B36" i="26"/>
  <c r="M35" i="26"/>
  <c r="L35" i="26"/>
  <c r="K35" i="26"/>
  <c r="J35" i="26"/>
  <c r="I35" i="26"/>
  <c r="B35" i="26"/>
  <c r="M34" i="26"/>
  <c r="L34" i="26"/>
  <c r="K34" i="26"/>
  <c r="J34" i="26"/>
  <c r="I34" i="26"/>
  <c r="B34" i="26"/>
  <c r="M32" i="26"/>
  <c r="L32" i="26"/>
  <c r="K32" i="26"/>
  <c r="J32" i="26"/>
  <c r="I32" i="26"/>
  <c r="B32" i="26"/>
  <c r="M30" i="26"/>
  <c r="L30" i="26"/>
  <c r="K30" i="26"/>
  <c r="J30" i="26"/>
  <c r="I30" i="26"/>
  <c r="B30" i="26"/>
  <c r="M29" i="26"/>
  <c r="L29" i="26"/>
  <c r="K29" i="26"/>
  <c r="J29" i="26"/>
  <c r="I29" i="26"/>
  <c r="B29" i="26"/>
  <c r="M27" i="26"/>
  <c r="L27" i="26"/>
  <c r="K27" i="26"/>
  <c r="J27" i="26"/>
  <c r="I27" i="26"/>
  <c r="B27" i="26"/>
  <c r="M25" i="26"/>
  <c r="L25" i="26"/>
  <c r="K25" i="26"/>
  <c r="J25" i="26"/>
  <c r="I25" i="26"/>
  <c r="B25" i="26"/>
  <c r="M24" i="26"/>
  <c r="L24" i="26"/>
  <c r="K24" i="26"/>
  <c r="J24" i="26"/>
  <c r="I24" i="26"/>
  <c r="B24" i="26"/>
  <c r="B23" i="26"/>
  <c r="M22" i="26"/>
  <c r="L22" i="26"/>
  <c r="K22" i="26"/>
  <c r="J22" i="26"/>
  <c r="I22" i="26"/>
  <c r="B22" i="26"/>
  <c r="M21" i="26"/>
  <c r="L21" i="26"/>
  <c r="K21" i="26"/>
  <c r="I21" i="26"/>
  <c r="M20" i="26"/>
  <c r="L20" i="26"/>
  <c r="K20" i="26"/>
  <c r="J20" i="26"/>
  <c r="I20" i="26"/>
  <c r="B20" i="26"/>
  <c r="M19" i="26"/>
  <c r="L19" i="26"/>
  <c r="K19" i="26"/>
  <c r="J19" i="26"/>
  <c r="I19" i="26"/>
  <c r="M18" i="26"/>
  <c r="L18" i="26"/>
  <c r="K18" i="26"/>
  <c r="J18" i="26"/>
  <c r="I18" i="26"/>
  <c r="M17" i="26"/>
  <c r="L17" i="26"/>
  <c r="K17" i="26"/>
  <c r="J17" i="26"/>
  <c r="I17" i="26"/>
  <c r="B17" i="26"/>
  <c r="M14" i="26"/>
  <c r="L14" i="26"/>
  <c r="K14" i="26"/>
  <c r="J14" i="26"/>
  <c r="I14" i="26"/>
  <c r="B14" i="26"/>
  <c r="M13" i="26"/>
  <c r="L13" i="26"/>
  <c r="K13" i="26"/>
  <c r="J13" i="26"/>
  <c r="I13" i="26"/>
  <c r="B13" i="26"/>
  <c r="M12" i="26"/>
  <c r="L12" i="26"/>
  <c r="K12" i="26"/>
  <c r="J12" i="26"/>
  <c r="I12" i="26"/>
  <c r="B12" i="26"/>
  <c r="M11" i="26"/>
  <c r="L11" i="26"/>
  <c r="K11" i="26"/>
  <c r="J11" i="26"/>
  <c r="I11" i="26"/>
  <c r="B11" i="26"/>
  <c r="M10" i="26"/>
  <c r="L10" i="26"/>
  <c r="K10" i="26"/>
  <c r="J10" i="26"/>
  <c r="I10" i="26"/>
  <c r="B10" i="26"/>
  <c r="M9" i="26"/>
  <c r="L9" i="26"/>
  <c r="K9" i="26"/>
  <c r="J9" i="26"/>
  <c r="I9" i="26"/>
  <c r="B9" i="26"/>
  <c r="A22" i="28" l="1"/>
  <c r="TX2" i="39"/>
  <c r="D12" i="40"/>
  <c r="J12" i="40"/>
  <c r="TT2" i="39"/>
  <c r="L84" i="27"/>
  <c r="PV2" i="39"/>
  <c r="M84" i="27"/>
  <c r="PW2" i="39"/>
  <c r="RX2" i="39"/>
  <c r="RU2" i="39"/>
  <c r="N84" i="27"/>
  <c r="PX2" i="39"/>
  <c r="RY2" i="39"/>
  <c r="RV2" i="39"/>
  <c r="L4" i="27"/>
  <c r="HB2" i="39" s="1"/>
  <c r="LC2" i="39" a="1"/>
  <c r="LC2" i="39" s="1"/>
  <c r="N4" i="27"/>
  <c r="HD2" i="39" s="1"/>
  <c r="L24" i="27"/>
  <c r="JJ2" i="39" s="1"/>
  <c r="RW2" i="39"/>
  <c r="RZ2" i="39"/>
  <c r="M4" i="27"/>
  <c r="HP2" i="39"/>
  <c r="HS2" i="39"/>
  <c r="HV2" i="39"/>
  <c r="IN2" i="39"/>
  <c r="IL2" i="39"/>
  <c r="I125" i="27"/>
  <c r="MM2" i="39"/>
  <c r="L64" i="27"/>
  <c r="NT2" i="39" s="1"/>
  <c r="NW2" i="39"/>
  <c r="J125" i="27"/>
  <c r="MN2" i="39"/>
  <c r="K125" i="27"/>
  <c r="MO2" i="39"/>
  <c r="M71" i="27"/>
  <c r="OP2" i="39"/>
  <c r="HU2" i="39"/>
  <c r="HO2" i="39"/>
  <c r="HR2" i="39"/>
  <c r="N24" i="27"/>
  <c r="JL2" i="39" s="1"/>
  <c r="N71" i="27"/>
  <c r="ON2" i="39" s="1"/>
  <c r="OQ2" i="39"/>
  <c r="N102" i="26"/>
  <c r="CR2" i="39" s="1"/>
  <c r="C22" i="28"/>
  <c r="N13" i="26"/>
  <c r="J2" i="39" s="1"/>
  <c r="N87" i="26"/>
  <c r="M35" i="27"/>
  <c r="N75" i="26"/>
  <c r="BQ2" i="39" s="1"/>
  <c r="M64" i="27"/>
  <c r="I126" i="27"/>
  <c r="L71" i="27"/>
  <c r="OL2" i="39" s="1"/>
  <c r="N68" i="26"/>
  <c r="L13" i="27"/>
  <c r="N64" i="27"/>
  <c r="N20" i="26"/>
  <c r="Q2" i="39" s="1"/>
  <c r="N11" i="26"/>
  <c r="H2" i="39" s="1"/>
  <c r="N8" i="26"/>
  <c r="J125" i="26" s="1"/>
  <c r="E44" i="4" s="1"/>
  <c r="N114" i="26"/>
  <c r="J133" i="26" s="1"/>
  <c r="E52" i="4" s="1"/>
  <c r="N98" i="26"/>
  <c r="J132" i="26" s="1"/>
  <c r="L35" i="27"/>
  <c r="N33" i="26"/>
  <c r="AD2" i="39" s="1"/>
  <c r="N31" i="26"/>
  <c r="AB2" i="39" s="1"/>
  <c r="N42" i="26"/>
  <c r="AM2" i="39" s="1"/>
  <c r="N55" i="26"/>
  <c r="J128" i="26" s="1"/>
  <c r="N58" i="26"/>
  <c r="BC2" i="39" s="1"/>
  <c r="N60" i="26"/>
  <c r="BE2" i="39" s="1"/>
  <c r="N62" i="26"/>
  <c r="BG2" i="39" s="1"/>
  <c r="N64" i="26"/>
  <c r="BI2" i="39" s="1"/>
  <c r="N70" i="26"/>
  <c r="BM2" i="39" s="1"/>
  <c r="N72" i="26"/>
  <c r="BO2" i="39" s="1"/>
  <c r="N77" i="26"/>
  <c r="BS2" i="39" s="1"/>
  <c r="N81" i="26"/>
  <c r="BW2" i="39" s="1"/>
  <c r="N85" i="26"/>
  <c r="CA2" i="39" s="1"/>
  <c r="N26" i="26"/>
  <c r="W2" i="39" s="1"/>
  <c r="N30" i="26"/>
  <c r="AA2" i="39" s="1"/>
  <c r="N39" i="26"/>
  <c r="J127" i="26" s="1"/>
  <c r="N46" i="26"/>
  <c r="AQ2" i="39" s="1"/>
  <c r="N50" i="26"/>
  <c r="AU2" i="39" s="1"/>
  <c r="J131" i="26"/>
  <c r="E50" i="4" s="1"/>
  <c r="CC2" i="39"/>
  <c r="N89" i="26"/>
  <c r="CE2" i="39" s="1"/>
  <c r="N115" i="26"/>
  <c r="DE2" i="39" s="1"/>
  <c r="M13" i="27"/>
  <c r="N13" i="27"/>
  <c r="N35" i="27"/>
  <c r="L95" i="27"/>
  <c r="M95" i="27"/>
  <c r="N95" i="27"/>
  <c r="N9" i="26"/>
  <c r="F2" i="39" s="1"/>
  <c r="N35" i="26"/>
  <c r="AF2" i="39" s="1"/>
  <c r="N14" i="26"/>
  <c r="K2" i="39" s="1"/>
  <c r="N18" i="26"/>
  <c r="O2" i="39" s="1"/>
  <c r="N23" i="26"/>
  <c r="T2" i="39" s="1"/>
  <c r="N27" i="26"/>
  <c r="X2" i="39" s="1"/>
  <c r="N37" i="26"/>
  <c r="AH2" i="39" s="1"/>
  <c r="N43" i="26"/>
  <c r="AN2" i="39" s="1"/>
  <c r="N47" i="26"/>
  <c r="AR2" i="39" s="1"/>
  <c r="N51" i="26"/>
  <c r="AV2" i="39" s="1"/>
  <c r="N53" i="26"/>
  <c r="AX2" i="39" s="1"/>
  <c r="N79" i="26"/>
  <c r="BU2" i="39" s="1"/>
  <c r="N83" i="26"/>
  <c r="BY2" i="39" s="1"/>
  <c r="N100" i="26"/>
  <c r="CP2" i="39" s="1"/>
  <c r="N104" i="26"/>
  <c r="CT2" i="39" s="1"/>
  <c r="N108" i="26"/>
  <c r="CX2" i="39" s="1"/>
  <c r="N112" i="26"/>
  <c r="DB2" i="39" s="1"/>
  <c r="N17" i="26"/>
  <c r="N2" i="39" s="1"/>
  <c r="N10" i="26"/>
  <c r="G2" i="39" s="1"/>
  <c r="N12" i="26"/>
  <c r="I2" i="39" s="1"/>
  <c r="N16" i="26"/>
  <c r="M2" i="39" s="1"/>
  <c r="N19" i="26"/>
  <c r="P2" i="39" s="1"/>
  <c r="N21" i="26"/>
  <c r="R2" i="39" s="1"/>
  <c r="N25" i="26"/>
  <c r="V2" i="39" s="1"/>
  <c r="N34" i="26"/>
  <c r="AE2" i="39" s="1"/>
  <c r="N36" i="26"/>
  <c r="AG2" i="39" s="1"/>
  <c r="N40" i="26"/>
  <c r="AK2" i="39" s="1"/>
  <c r="N41" i="26"/>
  <c r="AL2" i="39" s="1"/>
  <c r="N45" i="26"/>
  <c r="AP2" i="39" s="1"/>
  <c r="N49" i="26"/>
  <c r="AT2" i="39" s="1"/>
  <c r="N54" i="26"/>
  <c r="AY2" i="39" s="1"/>
  <c r="N69" i="26"/>
  <c r="BL2" i="39" s="1"/>
  <c r="N73" i="26"/>
  <c r="BP2" i="39" s="1"/>
  <c r="N76" i="26"/>
  <c r="BR2" i="39" s="1"/>
  <c r="N88" i="26"/>
  <c r="CD2" i="39" s="1"/>
  <c r="N90" i="26"/>
  <c r="CF2" i="39" s="1"/>
  <c r="N92" i="26"/>
  <c r="CH2" i="39" s="1"/>
  <c r="N94" i="26"/>
  <c r="CJ2" i="39" s="1"/>
  <c r="N96" i="26"/>
  <c r="CL2" i="39" s="1"/>
  <c r="N99" i="26"/>
  <c r="CO2" i="39" s="1"/>
  <c r="N101" i="26"/>
  <c r="CQ2" i="39" s="1"/>
  <c r="N107" i="26"/>
  <c r="CW2" i="39" s="1"/>
  <c r="N109" i="26"/>
  <c r="CY2" i="39" s="1"/>
  <c r="N111" i="26"/>
  <c r="DA2" i="39" s="1"/>
  <c r="N113" i="26"/>
  <c r="DC2" i="39" s="1"/>
  <c r="N117" i="26"/>
  <c r="DG2" i="39" s="1"/>
  <c r="N119" i="26"/>
  <c r="DI2" i="39" s="1"/>
  <c r="N121" i="26"/>
  <c r="DK2" i="39" s="1"/>
  <c r="N22" i="26"/>
  <c r="S2" i="39" s="1"/>
  <c r="N24" i="26"/>
  <c r="U2" i="39" s="1"/>
  <c r="N29" i="26"/>
  <c r="Z2" i="39" s="1"/>
  <c r="N32" i="26"/>
  <c r="AC2" i="39" s="1"/>
  <c r="N38" i="26"/>
  <c r="AI2" i="39" s="1"/>
  <c r="N44" i="26"/>
  <c r="AO2" i="39" s="1"/>
  <c r="N48" i="26"/>
  <c r="AS2" i="39" s="1"/>
  <c r="N52" i="26"/>
  <c r="AW2" i="39" s="1"/>
  <c r="N57" i="26"/>
  <c r="BB2" i="39" s="1"/>
  <c r="N59" i="26"/>
  <c r="BD2" i="39" s="1"/>
  <c r="N61" i="26"/>
  <c r="BF2" i="39" s="1"/>
  <c r="N63" i="26"/>
  <c r="BH2" i="39" s="1"/>
  <c r="N65" i="26"/>
  <c r="BJ2" i="39" s="1"/>
  <c r="N71" i="26"/>
  <c r="BN2" i="39" s="1"/>
  <c r="N78" i="26"/>
  <c r="BT2" i="39" s="1"/>
  <c r="N80" i="26"/>
  <c r="BV2" i="39" s="1"/>
  <c r="N82" i="26"/>
  <c r="BX2" i="39" s="1"/>
  <c r="N84" i="26"/>
  <c r="BZ2" i="39" s="1"/>
  <c r="N86" i="26"/>
  <c r="CB2" i="39" s="1"/>
  <c r="N91" i="26"/>
  <c r="CG2" i="39" s="1"/>
  <c r="N93" i="26"/>
  <c r="CI2" i="39" s="1"/>
  <c r="N95" i="26"/>
  <c r="CK2" i="39" s="1"/>
  <c r="N97" i="26"/>
  <c r="CM2" i="39" s="1"/>
  <c r="N116" i="26"/>
  <c r="DF2" i="39" s="1"/>
  <c r="N118" i="26"/>
  <c r="DH2" i="39" s="1"/>
  <c r="N120" i="26"/>
  <c r="DJ2" i="39" s="1"/>
  <c r="N103" i="26"/>
  <c r="CS2" i="39" s="1"/>
  <c r="N105" i="26"/>
  <c r="CU2" i="39" s="1"/>
  <c r="N106" i="26"/>
  <c r="CV2" i="39" s="1"/>
  <c r="N110" i="26"/>
  <c r="CZ2" i="39" s="1"/>
  <c r="N28" i="26"/>
  <c r="N56" i="26"/>
  <c r="BA2" i="39" s="1"/>
  <c r="K122" i="27" l="1"/>
  <c r="I122" i="27"/>
  <c r="C23" i="28"/>
  <c r="UH2" i="39" s="1"/>
  <c r="UG2" i="39"/>
  <c r="PU2" i="39"/>
  <c r="K128" i="27"/>
  <c r="PT2" i="39"/>
  <c r="J128" i="27"/>
  <c r="I129" i="27"/>
  <c r="QZ2" i="39"/>
  <c r="K129" i="27"/>
  <c r="RB2" i="39"/>
  <c r="J129" i="27"/>
  <c r="RA2" i="39"/>
  <c r="PS2" i="39"/>
  <c r="I128" i="27"/>
  <c r="I127" i="27"/>
  <c r="I124" i="27"/>
  <c r="KQ2" i="39"/>
  <c r="L12" i="27"/>
  <c r="HZ2" i="39"/>
  <c r="J126" i="27"/>
  <c r="NU2" i="39"/>
  <c r="OM2" i="39"/>
  <c r="J127" i="27"/>
  <c r="N12" i="27"/>
  <c r="IB2" i="39"/>
  <c r="K126" i="27"/>
  <c r="NV2" i="39"/>
  <c r="M12" i="27"/>
  <c r="IA2" i="39"/>
  <c r="K124" i="27"/>
  <c r="KS2" i="39"/>
  <c r="K127" i="27"/>
  <c r="J124" i="27"/>
  <c r="KR2" i="39"/>
  <c r="J122" i="27"/>
  <c r="HC2" i="39"/>
  <c r="J130" i="26"/>
  <c r="L130" i="26" s="1"/>
  <c r="DD2" i="39"/>
  <c r="E2" i="39"/>
  <c r="E51" i="4"/>
  <c r="T16" i="28"/>
  <c r="CN2" i="39"/>
  <c r="E46" i="4"/>
  <c r="T11" i="28"/>
  <c r="L127" i="26"/>
  <c r="AJ2" i="39"/>
  <c r="T9" i="28"/>
  <c r="L133" i="26"/>
  <c r="L131" i="26"/>
  <c r="T15" i="28"/>
  <c r="E47" i="4"/>
  <c r="L128" i="26"/>
  <c r="T12" i="28"/>
  <c r="AZ2" i="39"/>
  <c r="T17" i="28"/>
  <c r="L132" i="26"/>
  <c r="N15" i="26"/>
  <c r="Y2" i="39"/>
  <c r="J129" i="26"/>
  <c r="T13" i="28" s="1"/>
  <c r="BK2" i="39"/>
  <c r="I123" i="27" l="1"/>
  <c r="HW2" i="39"/>
  <c r="J123" i="27"/>
  <c r="HX2" i="39"/>
  <c r="K123" i="27"/>
  <c r="HY2" i="39"/>
  <c r="E49" i="4"/>
  <c r="T14" i="28"/>
  <c r="E48" i="4"/>
  <c r="L129" i="26"/>
  <c r="J126" i="26"/>
  <c r="L2" i="39"/>
  <c r="D12" i="12"/>
  <c r="D15" i="12"/>
  <c r="L15" i="12"/>
  <c r="D16" i="12"/>
  <c r="E48" i="12" l="1"/>
  <c r="C48" i="12"/>
  <c r="C49" i="12"/>
  <c r="E47" i="12"/>
  <c r="C47" i="12"/>
  <c r="B47" i="12"/>
  <c r="E45" i="4"/>
  <c r="T10" i="28"/>
  <c r="T18" i="28" s="1"/>
  <c r="UI2" i="39" s="1"/>
  <c r="L126" i="26"/>
  <c r="I13" i="12"/>
  <c r="D13" i="12"/>
  <c r="L14" i="12" l="1"/>
  <c r="K128" i="8"/>
  <c r="F128" i="8"/>
  <c r="D24" i="22"/>
  <c r="D23" i="22"/>
  <c r="C24" i="22"/>
  <c r="C23" i="22"/>
  <c r="D17" i="8"/>
  <c r="C14" i="23"/>
  <c r="D12" i="8"/>
  <c r="A52" i="4"/>
  <c r="A51" i="4"/>
  <c r="A50" i="4"/>
  <c r="A49" i="4"/>
  <c r="A48" i="4"/>
  <c r="A47" i="4"/>
  <c r="A46" i="4"/>
  <c r="A45" i="4"/>
  <c r="A44" i="4"/>
  <c r="G52" i="4"/>
  <c r="G51" i="4"/>
  <c r="G50" i="4"/>
  <c r="G49" i="4"/>
  <c r="G48" i="4"/>
  <c r="G47" i="4"/>
  <c r="G46" i="4"/>
  <c r="G45" i="4"/>
  <c r="G44" i="4"/>
  <c r="K52" i="4" l="1"/>
  <c r="C12" i="23"/>
  <c r="C15" i="23"/>
  <c r="D13" i="22"/>
  <c r="D16" i="8"/>
  <c r="D115" i="8" l="1"/>
  <c r="C115" i="8"/>
  <c r="C114" i="8"/>
  <c r="F114" i="8"/>
  <c r="C113" i="8"/>
  <c r="C20" i="22" s="1"/>
  <c r="G114" i="8"/>
  <c r="D114" i="8"/>
  <c r="F115" i="8"/>
  <c r="F113" i="8"/>
  <c r="D113" i="8"/>
  <c r="G115" i="8"/>
  <c r="H69" i="22"/>
  <c r="B48" i="12" l="1"/>
  <c r="C21" i="22"/>
  <c r="C21" i="40"/>
  <c r="B49" i="12"/>
  <c r="C22" i="22"/>
  <c r="C22" i="40"/>
  <c r="H57" i="22"/>
  <c r="J48" i="22"/>
  <c r="F48" i="22"/>
  <c r="L12" i="12" l="1"/>
  <c r="H49" i="12" l="1"/>
  <c r="GC2" i="39" s="1"/>
  <c r="GB2" i="39"/>
  <c r="F49" i="12"/>
  <c r="H48" i="12"/>
  <c r="FT2" i="39" s="1"/>
  <c r="FS2" i="39"/>
  <c r="F48" i="12"/>
  <c r="K48" i="12" s="1"/>
  <c r="FL2" i="39"/>
  <c r="FJ2" i="39"/>
  <c r="D22" i="22"/>
  <c r="D21" i="22"/>
  <c r="G21" i="22" s="1"/>
  <c r="D20" i="22"/>
  <c r="GE2" i="39" l="1"/>
  <c r="GA2" i="39"/>
  <c r="FW2" i="39"/>
  <c r="FR2" i="39"/>
  <c r="FN2" i="39" l="1"/>
  <c r="FH2" i="39"/>
  <c r="H47" i="12"/>
  <c r="FK2" i="39" s="1"/>
  <c r="GO2" i="39" l="1"/>
  <c r="GG2" i="39"/>
  <c r="D17" i="12" l="1"/>
  <c r="E17" i="12" s="1"/>
  <c r="B9" i="12" l="1"/>
  <c r="C64" i="12"/>
  <c r="B9" i="8"/>
  <c r="B9" i="22" l="1"/>
  <c r="K12" i="8" l="1"/>
  <c r="C13" i="23"/>
  <c r="C48" i="22" l="1"/>
  <c r="D36" i="22"/>
  <c r="B36" i="22"/>
  <c r="D14" i="22"/>
  <c r="J13" i="22"/>
  <c r="J15" i="22" s="1"/>
  <c r="J12" i="22"/>
  <c r="D12" i="22"/>
  <c r="L36" i="22" l="1"/>
  <c r="D14" i="12" l="1"/>
  <c r="E115" i="8" l="1"/>
  <c r="FY2" i="39"/>
  <c r="FP2" i="39"/>
  <c r="FF2" i="39"/>
  <c r="E114" i="8"/>
  <c r="G113" i="8"/>
  <c r="E113" i="8"/>
  <c r="T19" i="28" l="1"/>
  <c r="UJ2"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Karen Andrely Mendez Herrera</author>
  </authors>
  <commentList>
    <comment ref="M1" authorId="0" shapeId="0" xr:uid="{84AE50D2-6B1E-43D0-A6D5-04AAFF0F3A6C}">
      <text>
        <r>
          <rPr>
            <b/>
            <sz val="9"/>
            <color indexed="81"/>
            <rFont val="Tahoma"/>
            <family val="2"/>
          </rPr>
          <t xml:space="preserve">Favor incluir la información adicional que considere pertinente respecto la calificación reportada, rango de respuesta seleccionado o información relevante respecto al item evaluado.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Karen Andrely Mendez Herrera</author>
  </authors>
  <commentList>
    <comment ref="C12" authorId="0" shapeId="0" xr:uid="{907B649A-6397-4FE5-B5CF-90B5F4E27C33}">
      <text>
        <r>
          <rPr>
            <sz val="14"/>
            <color indexed="81"/>
            <rFont val="Tahoma"/>
            <family val="2"/>
          </rPr>
          <t>las casillas sombreadas en rojo tienen la opción de</t>
        </r>
        <r>
          <rPr>
            <b/>
            <sz val="14"/>
            <color indexed="81"/>
            <rFont val="Tahoma"/>
            <family val="2"/>
          </rPr>
          <t xml:space="preserve"> No Aplica</t>
        </r>
        <r>
          <rPr>
            <sz val="14"/>
            <color indexed="81"/>
            <rFont val="Tahoma"/>
            <family val="2"/>
          </rPr>
          <t xml:space="preserve"> (</t>
        </r>
        <r>
          <rPr>
            <b/>
            <sz val="14"/>
            <color indexed="81"/>
            <rFont val="Tahoma"/>
            <family val="2"/>
          </rPr>
          <t>NA</t>
        </r>
        <r>
          <rPr>
            <sz val="14"/>
            <color indexed="81"/>
            <rFont val="Tahoma"/>
            <family val="2"/>
          </rPr>
          <t xml:space="preserve">). Solo debe escribir </t>
        </r>
        <r>
          <rPr>
            <b/>
            <sz val="14"/>
            <color indexed="81"/>
            <rFont val="Tahoma"/>
            <family val="2"/>
          </rPr>
          <t>NA</t>
        </r>
        <r>
          <rPr>
            <sz val="14"/>
            <color indexed="81"/>
            <rFont val="Tahoma"/>
            <family val="2"/>
          </rPr>
          <t xml:space="preserve"> en cualquier casilla sombreada para invalidar la pregunta.</t>
        </r>
        <r>
          <rPr>
            <sz val="9"/>
            <color indexed="81"/>
            <rFont val="Tahoma"/>
            <family val="2"/>
          </rPr>
          <t xml:space="preserve">
</t>
        </r>
      </text>
    </comment>
    <comment ref="C16" authorId="0" shapeId="0" xr:uid="{5CFDB110-5A21-42EE-84D5-0A0A5B6F8AEC}">
      <text>
        <r>
          <rPr>
            <b/>
            <sz val="9"/>
            <color indexed="81"/>
            <rFont val="Tahoma"/>
            <family val="2"/>
          </rPr>
          <t>Para algunos casos de empresas de servicios que no tengan ningún tipo de maquinaria puede no aplicar esta pregunta; para estos casos el equivalente es la pregunta 10 de productividad laboral, correspondiente a Eficiencia General de las Personas (EGP).</t>
        </r>
      </text>
    </comment>
    <comment ref="C38" authorId="0" shapeId="0" xr:uid="{182370FD-AB7A-434B-A6C2-D89050EAD9DC}">
      <text>
        <r>
          <rPr>
            <sz val="12"/>
            <color indexed="81"/>
            <rFont val="Tahoma"/>
            <family val="2"/>
          </rPr>
          <t>Las empresas de clase mundial compran sus productos con antelación para negociar el precio de compra y mantener el precio establecido a largo plazo. En este sentido, compran a sus proveedores con años de anterioridad y a medida que van necesitando van solicitando materia prima, sin acumularse de inventario y manteniendo un precio acordado en el tiempo</t>
        </r>
        <r>
          <rPr>
            <b/>
            <sz val="12"/>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Karen Andrely Mendez Herrera</author>
  </authors>
  <commentList>
    <comment ref="D19" authorId="0" shapeId="0" xr:uid="{AE3D2D95-9C1B-4ADD-AC51-50E5325752DF}">
      <text>
        <r>
          <rPr>
            <b/>
            <sz val="9"/>
            <color indexed="81"/>
            <rFont val="Tahoma"/>
            <family val="2"/>
          </rPr>
          <t>Tenga en cuenta que por entrenamiento no solo se refiere a capacitaciones externas, sino que tambien se consideran las capacitaciones internas, como el manejo de los equipos, máquinas, porgramas o procesos.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tc={D2533855-5CCC-402E-A455-47B0735A358C}</author>
  </authors>
  <commentList>
    <comment ref="H8" authorId="0" shapeId="0" xr:uid="{D2533855-5CCC-402E-A455-47B0735A358C}">
      <text>
        <t>[Comentario encadenado]
Su versión de Excel le permite leer este comentario encadenado; sin embargo, las ediciones que se apliquen se quitarán si el archivo se abre en una versión más reciente de Excel. Más información: https://go.microsoft.com/fwlink/?linkid=870924
Comentario:
    Omnicanalidad: es una estrategia de contenido multicanal que las organizaciones utilizan para mejorar su experiencia de usuario. Ofreciendo a los clientes la misma experiencia en todos los canales no confundir con multicanal</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Karen Andrely Mendez Herrera</author>
    <author>tc={F1F4FA3E-876D-4196-81B4-4316645F6286}</author>
    <author>tc={7D60F5C5-BAF1-441E-901B-9C3602A4F7DF}</author>
    <author>tc={B94B7B32-4F53-4D10-A5E5-85A308C607D5}</author>
    <author>tc={92009DA8-3FA7-487B-89D7-FB9FBD7CCA82}</author>
    <author>tc={3F5A4D44-BB60-433A-A6BD-0301824FF871}</author>
    <author>tc={019D0ADE-21BB-4B98-91DC-3EC07E46A3D0}</author>
  </authors>
  <commentList>
    <comment ref="B3" authorId="0" shapeId="0" xr:uid="{8F4FEB3D-2429-45B8-98C8-7053098E5787}">
      <text>
        <r>
          <rPr>
            <sz val="11"/>
            <color indexed="81"/>
            <rFont val="Tahoma"/>
            <family val="2"/>
          </rPr>
          <t xml:space="preserve">las casillas sombreadas en rojo tienen la opción de </t>
        </r>
        <r>
          <rPr>
            <b/>
            <sz val="11"/>
            <color indexed="81"/>
            <rFont val="Tahoma"/>
            <family val="2"/>
          </rPr>
          <t>No Aplica</t>
        </r>
        <r>
          <rPr>
            <sz val="11"/>
            <color indexed="81"/>
            <rFont val="Tahoma"/>
            <family val="2"/>
          </rPr>
          <t xml:space="preserve"> (</t>
        </r>
        <r>
          <rPr>
            <b/>
            <sz val="11"/>
            <color indexed="81"/>
            <rFont val="Tahoma"/>
            <family val="2"/>
          </rPr>
          <t>NA</t>
        </r>
        <r>
          <rPr>
            <sz val="11"/>
            <color indexed="81"/>
            <rFont val="Tahoma"/>
            <family val="2"/>
          </rPr>
          <t>). Solo debe escribir NA en cualquier casilla sombreada para invalidar la pregunta.</t>
        </r>
        <r>
          <rPr>
            <sz val="9"/>
            <color indexed="81"/>
            <rFont val="Tahoma"/>
            <family val="2"/>
          </rPr>
          <t xml:space="preserve">
</t>
        </r>
      </text>
    </comment>
    <comment ref="B5" authorId="1" shapeId="0" xr:uid="{F1F4FA3E-876D-4196-81B4-4316645F6286}">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casillas sombreadas en rojo tienen la opción de No Aplica (NA). Solo debe escribir NA en cualquier casilla sombreada para invalidar la pregunta.</t>
      </text>
    </comment>
    <comment ref="B7" authorId="2" shapeId="0" xr:uid="{7D60F5C5-BAF1-441E-901B-9C3602A4F7DF}">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casillas sombreadas en rojo tienen la opción de No Aplica (NA). Solo debe escribir NA en cualquier casilla sombreada para invalidar la pregunta.</t>
      </text>
    </comment>
    <comment ref="B15" authorId="3" shapeId="0" xr:uid="{B94B7B32-4F53-4D10-A5E5-85A308C607D5}">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casillas sombreadas en rojo tienen la opción de No Aplica (NA). Solo debe escribir NA en cualquier casilla sombreada para invalidar la pregunta</t>
      </text>
    </comment>
    <comment ref="B19" authorId="4" shapeId="0" xr:uid="{92009DA8-3FA7-487B-89D7-FB9FBD7CCA82}">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casillas sombreadas en rojo tienen la opción de No Aplica (NA). Solo debe escribir NA en cualquier casilla sombreada para invalidar la pregunta</t>
      </text>
    </comment>
    <comment ref="B21" authorId="5" shapeId="0" xr:uid="{3F5A4D44-BB60-433A-A6BD-0301824FF871}">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casillas sombreadas en rojo tienen la opción de No Aplica (NA). Solo debe escribir NA en cualquier casilla sombreada para invalidar la pregunta</t>
      </text>
    </comment>
    <comment ref="B25" authorId="6" shapeId="0" xr:uid="{019D0ADE-21BB-4B98-91DC-3EC07E46A3D0}">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casillas sombreadas en rojo tienen la opción de No Aplica (NA). Solo debe escribir NA en cualquier casilla sombreada para invalidar la pregunta</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tc={69B8393B-18F4-4BAC-9ECF-4CE7C8063BC8}</author>
  </authors>
  <commentList>
    <comment ref="B5" authorId="0" shapeId="0" xr:uid="{69B8393B-18F4-4BAC-9ECF-4CE7C8063BC8}">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casillas sombreadas en rojo tienen la opción de No Aplica (NA). Solo debe escribir NA en cualquier casilla sombreada para invalidar la pregunta.</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Karen Andrely Mendez Herrera</author>
  </authors>
  <commentList>
    <comment ref="B21" authorId="0" shapeId="0" xr:uid="{FFA3D6F1-F75D-4A18-A5D6-7143F8BD2F9E}">
      <text>
        <r>
          <rPr>
            <sz val="10"/>
            <color indexed="81"/>
            <rFont val="Tahoma"/>
            <family val="2"/>
          </rPr>
          <t xml:space="preserve">Las casillas señaladas en rojo son las casillas que tienen la opción de No Aplica. Solo debe escribir NA o na, en cualquier casilla para invalidarla.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Karen Andrely Mendez Herrera</author>
  </authors>
  <commentList>
    <comment ref="D5" authorId="0" shapeId="0" xr:uid="{57479868-009F-4C18-A988-A982DC602657}">
      <text>
        <r>
          <rPr>
            <sz val="9"/>
            <color indexed="81"/>
            <rFont val="Tahoma"/>
            <family val="2"/>
          </rPr>
          <t xml:space="preserve">Esta información (en color verde) se genera de manera automatica una vez se diligencia el CIIU de la actividad principal en el indice.  
Favor no borrar las fórmulas. </t>
        </r>
      </text>
    </comment>
    <comment ref="D10" authorId="0" shapeId="0" xr:uid="{DC9F812B-F185-42C6-A576-2D8BE6B9BB17}">
      <text>
        <r>
          <rPr>
            <b/>
            <sz val="9"/>
            <color indexed="81"/>
            <rFont val="Tahoma"/>
            <family val="2"/>
          </rPr>
          <t>Para esta pregunta puede usar la tasa de variación acumulada expresada en las casillas N-W 11; y comparar el resultado de la empresa respecto al sector.</t>
        </r>
      </text>
    </comment>
    <comment ref="O10" authorId="0" shapeId="0" xr:uid="{7AED7379-BE45-4C5F-A965-039BEC49989F}">
      <text>
        <r>
          <rPr>
            <b/>
            <sz val="9"/>
            <color indexed="81"/>
            <rFont val="Tahoma"/>
            <family val="2"/>
          </rPr>
          <t>Primer año para el que se cuenta con información</t>
        </r>
        <r>
          <rPr>
            <sz val="9"/>
            <color indexed="81"/>
            <rFont val="Tahoma"/>
            <family val="2"/>
          </rPr>
          <t xml:space="preserve">
</t>
        </r>
      </text>
    </comment>
    <comment ref="P10" authorId="0" shapeId="0" xr:uid="{CD0062E0-1ED1-4814-ADA8-AB36E698C39F}">
      <text>
        <r>
          <rPr>
            <b/>
            <sz val="9"/>
            <color indexed="81"/>
            <rFont val="Tahoma"/>
            <family val="2"/>
          </rPr>
          <t>Ultimo año para el que se cuenta con información</t>
        </r>
        <r>
          <rPr>
            <sz val="9"/>
            <color indexed="81"/>
            <rFont val="Tahoma"/>
            <family val="2"/>
          </rPr>
          <t xml:space="preserve">
</t>
        </r>
      </text>
    </comment>
    <comment ref="T10" authorId="0" shapeId="0" xr:uid="{8B41314D-F8E9-453F-BBE8-D37EF4BAD9AD}">
      <text>
        <r>
          <rPr>
            <b/>
            <sz val="9"/>
            <color indexed="81"/>
            <rFont val="Tahoma"/>
            <family val="2"/>
          </rPr>
          <t>Primer año para el que se cuenta con información</t>
        </r>
        <r>
          <rPr>
            <sz val="9"/>
            <color indexed="81"/>
            <rFont val="Tahoma"/>
            <family val="2"/>
          </rPr>
          <t xml:space="preserve">
</t>
        </r>
      </text>
    </comment>
    <comment ref="U10" authorId="0" shapeId="0" xr:uid="{8B66D14D-5E90-434C-8436-994B18F20CC3}">
      <text>
        <r>
          <rPr>
            <b/>
            <sz val="9"/>
            <color indexed="81"/>
            <rFont val="Tahoma"/>
            <family val="2"/>
          </rPr>
          <t>Ultimo año para el que se cuenta con información</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tc={56BF8EE6-0F43-40AA-8C91-BDF5F7CAA2D3}</author>
    <author>Karen Andrely Mendez Herrera</author>
  </authors>
  <commentList>
    <comment ref="F53" authorId="0" shapeId="0" xr:uid="{56BF8EE6-0F43-40AA-8C91-BDF5F7CAA2D3}">
      <text>
        <t>[Comentario encadenado]
Su versión de Excel le permite leer este comentario encadenado; sin embargo, las ediciones que se apliquen se quitarán si el archivo se abre en una versión más reciente de Excel. Más información: https://go.microsoft.com/fwlink/?linkid=870924
Comentario:
    Si la organización no cuenta con proyectos asiciados a I+D+i la medición de la línea base es 0/ Sumatoria de los Valores Presente Neto de proyectos no relacionado con I+D+i de la empresa - VPNG 
la medición de salida será la Fórmula y esta reflejará el cumplimiento o no de la meta de intervención del 8%.</t>
      </text>
    </comment>
    <comment ref="F64" authorId="1" shapeId="0" xr:uid="{D5EF0C60-FE81-4EBE-954E-AA4DEE226C7A}">
      <text>
        <r>
          <rPr>
            <b/>
            <sz val="9"/>
            <color indexed="81"/>
            <rFont val="Tahoma"/>
            <family val="2"/>
          </rPr>
          <t xml:space="preserve">Si la organización no cuenta con procesos automatizados, la medición de la línea base es 0/ No. Total de procesos según VSM. 
la medición de salida será la Fórmula y esta reflejará el cumplimiento o no de la meta de intervención del 8%.
</t>
        </r>
        <r>
          <rPr>
            <sz val="9"/>
            <color indexed="81"/>
            <rFont val="Tahoma"/>
            <family val="2"/>
          </rPr>
          <t xml:space="preserve">
</t>
        </r>
      </text>
    </comment>
    <comment ref="F68" authorId="1" shapeId="0" xr:uid="{5FB57011-0B9E-43D6-B409-CB750AEBDC62}">
      <text>
        <r>
          <rPr>
            <b/>
            <sz val="9"/>
            <color indexed="81"/>
            <rFont val="Tahoma"/>
            <family val="2"/>
          </rPr>
          <t>Si la organización no cuenta con areas con información integrada, la medición de la línea base es 0/ Número áreas de la empresa. 
la medición de salida será la Fórmula y esta reflejará el cumplimiento o no de la meta de intervención del 8%.</t>
        </r>
        <r>
          <rPr>
            <sz val="9"/>
            <color indexed="81"/>
            <rFont val="Tahoma"/>
            <family val="2"/>
          </rPr>
          <t xml:space="preserve">
</t>
        </r>
      </text>
    </comment>
    <comment ref="F69" authorId="1" shapeId="0" xr:uid="{9CF77148-318D-4BA4-9B8D-DA4C098DF346}">
      <text>
        <r>
          <rPr>
            <b/>
            <sz val="9"/>
            <color indexed="81"/>
            <rFont val="Tahoma"/>
            <family val="2"/>
          </rPr>
          <t>Si la organización no cuenta horas de formación enfocadas a la Transformación digital , la medición de la línea base es 0/ Total de horas laboradas. 
la medición de salida será la Fórmula y esta reflejará el cumplimiento o no de la meta de intervención del 8%.:</t>
        </r>
        <r>
          <rPr>
            <sz val="9"/>
            <color indexed="81"/>
            <rFont val="Tahoma"/>
            <family val="2"/>
          </rPr>
          <t xml:space="preserve">
</t>
        </r>
      </text>
    </comment>
    <comment ref="F71" authorId="1" shapeId="0" xr:uid="{5E556686-BB18-4366-930A-76968E55E3F7}">
      <text>
        <r>
          <rPr>
            <b/>
            <sz val="9"/>
            <color indexed="81"/>
            <rFont val="Tahoma"/>
            <family val="2"/>
          </rPr>
          <t xml:space="preserve">
Si la organización no cuenta con canales digitales, la medición de la línea base es 0/ No. Clientes activos. 
la medición de salida será la Fórmula y esta reflejará el cumplimiento o no de la meta de intervención del 8%.</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<sst xmlns="http://schemas.openxmlformats.org/spreadsheetml/2006/main" count="12989" uniqueCount="3627">
  <si>
    <t>Versión 8: 28/05/2021</t>
  </si>
  <si>
    <t>Guía para el diagnóstico general de la empresa</t>
  </si>
  <si>
    <t>Fecha (DD/MM/AAAA)</t>
  </si>
  <si>
    <t>Nombre de la empresa</t>
  </si>
  <si>
    <t>ABC</t>
  </si>
  <si>
    <r>
      <t xml:space="preserve">Nit </t>
    </r>
    <r>
      <rPr>
        <b/>
        <sz val="10"/>
        <color theme="1"/>
        <rFont val="Palatino Linotype"/>
        <family val="1"/>
      </rPr>
      <t>(con digito de verificación)</t>
    </r>
  </si>
  <si>
    <t>Actividad Económica (CIIU)</t>
  </si>
  <si>
    <t>C2221</t>
  </si>
  <si>
    <t xml:space="preserve">
De acuerdo con la actividad principal de la empresa, favor registrar el código CIIU (Grupo y 4 digitos), como se indica en la  columna F de la pestaña SIREM; a efectos de alimentar las primera tres preguntas del diagnóstico financiero.</t>
  </si>
  <si>
    <t>SIREM!F1</t>
  </si>
  <si>
    <t>Actividad Económica (CIIU) en la cual va a desarrollar la intervención</t>
  </si>
  <si>
    <t>Nota:  En caso de realizar la intervención en una actividad diferente a la principal por favor indicador con Grupo y 4 digitos correspondiente a la actividad, si es la misma actividad dejarla indicada de acuerdo con la fila 17</t>
  </si>
  <si>
    <t>Cámara de Comercio de:</t>
  </si>
  <si>
    <t>Medellín por Antioquia</t>
  </si>
  <si>
    <t>Ciudad Empresa</t>
  </si>
  <si>
    <t>Medellín</t>
  </si>
  <si>
    <t>Nombre del gestor</t>
  </si>
  <si>
    <t>ACB</t>
  </si>
  <si>
    <t xml:space="preserve">Fecha de validación Cámara de Comercio - Diagnóstico: </t>
  </si>
  <si>
    <t>Responsable validación</t>
  </si>
  <si>
    <t>N°</t>
  </si>
  <si>
    <t>Indicador</t>
  </si>
  <si>
    <t>Pregunta / Guía</t>
  </si>
  <si>
    <t>Cómo Medirlo</t>
  </si>
  <si>
    <t>Nivel Actual</t>
  </si>
  <si>
    <t>Nivel Meta Anual</t>
  </si>
  <si>
    <t>Observaciones generales  y/o afectaciones derivadas de la emergencia sanitaria COVID-19</t>
  </si>
  <si>
    <t>Quién se comunica directamente con los clientes</t>
  </si>
  <si>
    <t>Se trata de establecer la intensidad y calidad de la interacción con el cliente.</t>
  </si>
  <si>
    <t>El responsable de ventas y/o mercadeo solamente</t>
  </si>
  <si>
    <t>Otros departamentos pero solo con la aprobación del responsable de Ventas y/o Marketing</t>
  </si>
  <si>
    <r>
      <t xml:space="preserve">Todos pueden y, de manera rutinaria, </t>
    </r>
    <r>
      <rPr>
        <b/>
        <sz val="12"/>
        <rFont val="Palatino Linotype"/>
        <family val="1"/>
      </rPr>
      <t xml:space="preserve">hablan en función de los temas </t>
    </r>
    <r>
      <rPr>
        <sz val="12"/>
        <rFont val="Palatino Linotype"/>
        <family val="1"/>
      </rPr>
      <t>y niveles de la estructura directamente con los clientes.</t>
    </r>
  </si>
  <si>
    <t>Cómo se fijan los precios</t>
  </si>
  <si>
    <r>
      <t>Qué tanto la empresa sólo se "</t>
    </r>
    <r>
      <rPr>
        <i/>
        <sz val="12"/>
        <rFont val="Palatino Linotype"/>
        <family val="1"/>
      </rPr>
      <t>oye</t>
    </r>
    <r>
      <rPr>
        <sz val="12"/>
        <rFont val="Palatino Linotype"/>
        <family val="1"/>
      </rPr>
      <t>" a sí misma para fijar los precios versus qué tanto escucha al mercado: clientes, competidores y a sus propia voz interna (los costos y gastos internos).</t>
    </r>
  </si>
  <si>
    <t xml:space="preserve">Solo un área de la empresa fija los precios  </t>
  </si>
  <si>
    <r>
      <t>Se establecen los precios en función de los costos, y si es necesario estos  se "masajean" con base en la demanda</t>
    </r>
    <r>
      <rPr>
        <b/>
        <sz val="12"/>
        <rFont val="Palatino Linotype"/>
        <family val="1"/>
      </rPr>
      <t xml:space="preserve"> </t>
    </r>
    <r>
      <rPr>
        <sz val="12"/>
        <rFont val="Palatino Linotype"/>
        <family val="1"/>
      </rPr>
      <t>del mercado</t>
    </r>
    <r>
      <rPr>
        <b/>
        <sz val="12"/>
        <rFont val="Palatino Linotype"/>
        <family val="1"/>
      </rPr>
      <t xml:space="preserve"> O</t>
    </r>
    <r>
      <rPr>
        <sz val="12"/>
        <rFont val="Palatino Linotype"/>
        <family val="1"/>
      </rPr>
      <t xml:space="preserve"> en la competencia</t>
    </r>
  </si>
  <si>
    <r>
      <t>El precio se establece desde un grupo de gestión multifuncional de la empresa, y si es necesario se "masajean" los precios con base en la demanda</t>
    </r>
    <r>
      <rPr>
        <b/>
        <sz val="12"/>
        <rFont val="Palatino Linotype"/>
        <family val="1"/>
      </rPr>
      <t xml:space="preserve"> O</t>
    </r>
    <r>
      <rPr>
        <sz val="12"/>
        <rFont val="Palatino Linotype"/>
        <family val="1"/>
      </rPr>
      <t xml:space="preserve"> la competencia</t>
    </r>
  </si>
  <si>
    <r>
      <t xml:space="preserve">El precio es un esfuerzo estratégico </t>
    </r>
    <r>
      <rPr>
        <b/>
        <sz val="12"/>
        <rFont val="Palatino Linotype"/>
        <family val="1"/>
      </rPr>
      <t>periódico</t>
    </r>
    <r>
      <rPr>
        <sz val="12"/>
        <rFont val="Palatino Linotype"/>
        <family val="1"/>
      </rPr>
      <t xml:space="preserve"> que involucra a un grupo de gestión multifuncional de la empresa, asi como también al mercado (clientes y competencia) </t>
    </r>
  </si>
  <si>
    <r>
      <t xml:space="preserve">El precio es un esfuerzo estratégico </t>
    </r>
    <r>
      <rPr>
        <b/>
        <sz val="12"/>
        <rFont val="Palatino Linotype"/>
        <family val="1"/>
      </rPr>
      <t>continuo</t>
    </r>
    <r>
      <rPr>
        <sz val="12"/>
        <rFont val="Palatino Linotype"/>
        <family val="1"/>
      </rPr>
      <t xml:space="preserve"> que involucra  a un grupo de gestión multifuncional de la empresa, asi como también al mercado (clientes y competencia) </t>
    </r>
  </si>
  <si>
    <t>Crecimiento de las ventas</t>
  </si>
  <si>
    <t>Por regla general, cuando el crecimiento se estanca, solamente, el 10% de las empresa lo recupera.</t>
  </si>
  <si>
    <t>Año</t>
  </si>
  <si>
    <r>
      <t xml:space="preserve">Ventas: Ingresar aquí el valor de las ventas por año de la </t>
    </r>
    <r>
      <rPr>
        <b/>
        <sz val="11"/>
        <rFont val="Calibri"/>
        <family val="2"/>
        <scheme val="minor"/>
      </rPr>
      <t>empresa</t>
    </r>
  </si>
  <si>
    <t>Crecimiento Anual Simple</t>
  </si>
  <si>
    <r>
      <t>Tasa Anual de Crecimiento Compuesto-</t>
    </r>
    <r>
      <rPr>
        <b/>
        <sz val="12"/>
        <rFont val="Palatino Linotype"/>
        <family val="1"/>
      </rPr>
      <t>TACC</t>
    </r>
    <r>
      <rPr>
        <sz val="12"/>
        <rFont val="Palatino Linotype"/>
        <family val="1"/>
      </rPr>
      <t>-Empresa</t>
    </r>
  </si>
  <si>
    <r>
      <t>Tasa anual de crecimiento compuesto -</t>
    </r>
    <r>
      <rPr>
        <b/>
        <sz val="12"/>
        <rFont val="Palatino Linotype"/>
        <family val="1"/>
      </rPr>
      <t>TACC</t>
    </r>
    <r>
      <rPr>
        <sz val="12"/>
        <rFont val="Palatino Linotype"/>
        <family val="1"/>
      </rPr>
      <t>- para los 3-5 últimos años</t>
    </r>
  </si>
  <si>
    <t>x</t>
  </si>
  <si>
    <t>No se mide</t>
  </si>
  <si>
    <t>El sector decrece y las ventas de la empresa están estancadas  o decrecen más que el sector</t>
  </si>
  <si>
    <t>El sector decrece, pero las ventas de la empresa crecen</t>
  </si>
  <si>
    <t>El sector crece, pero las ventas de la empresa crecen por debajo del sector o decrecen</t>
  </si>
  <si>
    <t>El sector crece y la participación de la empresa crece por encima del crecimiento promedio del sector</t>
  </si>
  <si>
    <t>Rentabilidad por cliente</t>
  </si>
  <si>
    <t>¿La empresa conoce el beneficio generado por cada cliente, después de deducir los costos de atraerlos,  mantenerlos y brindarle servicio post venta?</t>
  </si>
  <si>
    <t>Ventas - costos- gastos  de administración y ventas. (Por orden de producción, cliente, vendedor, familia, geografía).</t>
  </si>
  <si>
    <t>Se calcula el margen de contribución por pedido o por cliente y se distribuyen los gastos de distribución y ventas con base en el valor promedio</t>
  </si>
  <si>
    <t>Hay clientes rentables y no rentables; los primeros aportan volumen y utilidad, los segundos contribuyen a diluir los costos y gastos.
La empresa cree que los primeros compensan las pérdidas</t>
  </si>
  <si>
    <t>El 100% de los clientes son rentables; no obstante se acepta que algunos productos vendidos no son rentables, por estrategia comercial</t>
  </si>
  <si>
    <r>
      <t>100 % de los productos y clientes son rentables. Se conoce la rentabilidad por orden de producción -</t>
    </r>
    <r>
      <rPr>
        <b/>
        <sz val="12"/>
        <rFont val="Palatino Linotype"/>
        <family val="1"/>
      </rPr>
      <t>OP</t>
    </r>
    <r>
      <rPr>
        <sz val="12"/>
        <rFont val="Palatino Linotype"/>
        <family val="1"/>
      </rPr>
      <t>-, cliente, vendedor, zona, familia de producto, después de los gastos de administración y ventas</t>
    </r>
  </si>
  <si>
    <t>Valor generado por los clientes</t>
  </si>
  <si>
    <t>¿Cuántos de los clientes vuelven a comprar? ¿Qué tan fieles y rentables son a la marca, organización o servicio?</t>
  </si>
  <si>
    <r>
      <t>El Lifetime Value -</t>
    </r>
    <r>
      <rPr>
        <b/>
        <sz val="12"/>
        <rFont val="Palatino Linotype"/>
        <family val="1"/>
      </rPr>
      <t>LTV</t>
    </r>
    <r>
      <rPr>
        <sz val="12"/>
        <rFont val="Palatino Linotype"/>
        <family val="1"/>
      </rPr>
      <t>- o Valor Vitalicio del Cliente -</t>
    </r>
    <r>
      <rPr>
        <b/>
        <sz val="12"/>
        <rFont val="Palatino Linotype"/>
        <family val="1"/>
      </rPr>
      <t>VVC</t>
    </r>
    <r>
      <rPr>
        <sz val="12"/>
        <rFont val="Palatino Linotype"/>
        <family val="1"/>
      </rPr>
      <t xml:space="preserve"> -, es el ingreso que un cliente deja a lo largo de toda su relación con la empresa y no en un solo período.</t>
    </r>
  </si>
  <si>
    <t>No se conoce el valor generado por los clientes, o estos están cambiando constantemente</t>
  </si>
  <si>
    <t>Se mide la tasa de retención,  duración o  permanencia del cliente en el tiempo</t>
  </si>
  <si>
    <t xml:space="preserve">Se conoce la duración, amplitud o diversidad de productos y servicios que el cliente compra. </t>
  </si>
  <si>
    <r>
      <t xml:space="preserve">Se conoce la duración, amplitud y profundidad, esto es, la cantidad comprada de cada producto o servicio, pero no se calcula el </t>
    </r>
    <r>
      <rPr>
        <b/>
        <sz val="12"/>
        <rFont val="Palatino Linotype"/>
        <family val="1"/>
      </rPr>
      <t>VVC</t>
    </r>
  </si>
  <si>
    <r>
      <t>Se calcula y gestiona el</t>
    </r>
    <r>
      <rPr>
        <b/>
        <sz val="12"/>
        <rFont val="Palatino Linotype"/>
        <family val="1"/>
      </rPr>
      <t xml:space="preserve"> VVC </t>
    </r>
    <r>
      <rPr>
        <sz val="12"/>
        <rFont val="Palatino Linotype"/>
        <family val="1"/>
      </rPr>
      <t xml:space="preserve"> (rara vez la empresa pierde clientes pues logra mantener su fidelidad a  la empresa)</t>
    </r>
  </si>
  <si>
    <t>Plan de Mercadeo y Ventas</t>
  </si>
  <si>
    <t>¿La empresa cuenta y ejecuta un plan de mercadeo y ventas?</t>
  </si>
  <si>
    <t>No cuenta con un plan de mercadeo y ventas</t>
  </si>
  <si>
    <t>Cuenta con un plan de mercadeo y ventas pero no lo ejecuta</t>
  </si>
  <si>
    <t>Cuenta con un plan de mercadeo y ventas, y lo ejecuta parcialmente</t>
  </si>
  <si>
    <t>Cuenta con un plan de mercadeo y ventas, y lo ejecuta rigurosamente. Este plan se actualiza anualmente.</t>
  </si>
  <si>
    <t>Cuenta con un plan de mercadeo y ventas, y lo ejecuta rigurosamente, pero además se actualiza más de una vez al año.</t>
  </si>
  <si>
    <t>Notas:</t>
  </si>
  <si>
    <t>2.1. Mejoramiento de los procesos</t>
  </si>
  <si>
    <t>Tiempo de Ciclo</t>
  </si>
  <si>
    <t>el LT es el tiempo que transcurre desde que se inicia un proceso de producción, al generarse una orden, hasta que se  entrega al cliente. Es decir, representa el tiempo que existe entre el primer y el último paso de la elaboración de un servicio o producto.</t>
  </si>
  <si>
    <t>Lead Time (LT)</t>
  </si>
  <si>
    <t xml:space="preserve">No se hace medición del Lead Time </t>
  </si>
  <si>
    <t>Entre las respuestas 1 y 3</t>
  </si>
  <si>
    <t>Se realiza la medición del Lead time de la empresa pero no se han implementado acciones</t>
  </si>
  <si>
    <t xml:space="preserve">Se realiza la medición del Lead time de la empresa y se han implementado acciones que no han evidenciado mejoras </t>
  </si>
  <si>
    <t xml:space="preserve">Se realiza la medición del Lead time de la empresa y se han implementado acciones que han permitido reducir y/o sostener las mejoras </t>
  </si>
  <si>
    <t>Este tiempo es una métrica de cada proceso individual, y por supuesto existen numerosos TC dentro de un proceso general (LT) de producción de un servicio o producto</t>
  </si>
  <si>
    <t>Tiempo de ciclo (TC)</t>
  </si>
  <si>
    <t>No se hacen mediciones de tiempos de ciclo</t>
  </si>
  <si>
    <t>Se realizan mediciones de tiempo de ciclo pero no se han implementado acciones</t>
  </si>
  <si>
    <t xml:space="preserve">Se realizan mediciones de tiempo de ciclo y se han implementado acciones que no han evidenciado mejoras </t>
  </si>
  <si>
    <t xml:space="preserve">Se realizan mediciones de tiempo de ciclo y se han implementado acciones que han permitido reducir los TC y/o sostener las mejoras </t>
  </si>
  <si>
    <t>Se trata de establecer el tiempo de valor agregado y el tiempo que no se agrega valor</t>
  </si>
  <si>
    <r>
      <t>Eficiencia del Ciclo de Procesos -</t>
    </r>
    <r>
      <rPr>
        <b/>
        <sz val="12"/>
        <rFont val="Palatino Linotype"/>
        <family val="1"/>
      </rPr>
      <t>ECP</t>
    </r>
    <r>
      <rPr>
        <sz val="12"/>
        <rFont val="Palatino Linotype"/>
        <family val="1"/>
      </rPr>
      <t>- = Tiempo que agrega valor / Tiempo total del ciclo</t>
    </r>
  </si>
  <si>
    <t>No más del 5% del tiempo de ciclo agrega valor</t>
  </si>
  <si>
    <t>Entre 5-8% del tiempo de ciclo agrega valor</t>
  </si>
  <si>
    <t>Entre 9-10% del tiempo de ciclo agrega valor</t>
  </si>
  <si>
    <r>
      <rPr>
        <b/>
        <sz val="12"/>
        <rFont val="Palatino Linotype"/>
        <family val="1"/>
      </rPr>
      <t>ECP</t>
    </r>
    <r>
      <rPr>
        <sz val="12"/>
        <rFont val="Palatino Linotype"/>
        <family val="1"/>
      </rPr>
      <t>: Mayor al 10%</t>
    </r>
  </si>
  <si>
    <t xml:space="preserve">Capacidad de reducción de costos </t>
  </si>
  <si>
    <t>Internos</t>
  </si>
  <si>
    <t xml:space="preserve">Nivel de reducción de costos por año
</t>
  </si>
  <si>
    <t>No se gestiona, no se mide</t>
  </si>
  <si>
    <t xml:space="preserve">&gt; 0 –  ≤ 3% </t>
  </si>
  <si>
    <t xml:space="preserve">&gt; 3 –  ≤ 4% </t>
  </si>
  <si>
    <t>&gt; 4 - ≤ 5%</t>
  </si>
  <si>
    <t xml:space="preserve">Mas del 5% </t>
  </si>
  <si>
    <t xml:space="preserve">Con los proveedores bienes y servicios </t>
  </si>
  <si>
    <t>Nivel de variación de los costos</t>
  </si>
  <si>
    <t>¿Se está produciendo sin sobrepasar el presupuesto o los costos estándar?</t>
  </si>
  <si>
    <t>% de variación con respecto al presupuesto para los costos</t>
  </si>
  <si>
    <t>± 10%</t>
  </si>
  <si>
    <t xml:space="preserve">&gt; 5 - ≤ 10% </t>
  </si>
  <si>
    <t xml:space="preserve">&gt; 3  -  ≤ 5% </t>
  </si>
  <si>
    <t xml:space="preserve">&gt; 0 y ≤ 3% </t>
  </si>
  <si>
    <t>Eficiencia General de los Equipos (OEE)</t>
  </si>
  <si>
    <t>Revela el nivel de utilización de la capacidad instalada de los equipos.</t>
  </si>
  <si>
    <r>
      <rPr>
        <b/>
        <sz val="12"/>
        <rFont val="Palatino Linotype"/>
        <family val="1"/>
      </rPr>
      <t>OEE = Disponibilidad x Rendimiento x Calidad.</t>
    </r>
    <r>
      <rPr>
        <sz val="12"/>
        <rFont val="Palatino Linotype"/>
        <family val="1"/>
      </rPr>
      <t xml:space="preserve"> (Tenga en cuenta que </t>
    </r>
    <r>
      <rPr>
        <b/>
        <sz val="12"/>
        <rFont val="Palatino Linotype"/>
        <family val="1"/>
      </rPr>
      <t>NO</t>
    </r>
    <r>
      <rPr>
        <sz val="12"/>
        <rFont val="Palatino Linotype"/>
        <family val="1"/>
      </rPr>
      <t xml:space="preserve"> debe calcularlo, solo tomar los datos si la empresa lo mide)</t>
    </r>
  </si>
  <si>
    <t>No se mide o no se mide correctamente</t>
  </si>
  <si>
    <t>Hasta 65%. Inaceptable. Entre 65 - ≤ 75%. Regular</t>
  </si>
  <si>
    <t>&gt; 75 - ≤ 85%. Aceptable</t>
  </si>
  <si>
    <t>&gt; 85 y 95%. Buena</t>
  </si>
  <si>
    <t>Mayor a 95%. Excelente</t>
  </si>
  <si>
    <t>Costos de improductividad /  No calidad</t>
  </si>
  <si>
    <t>¿Cuánto representan los costos de las  devoluciones por quejas,  garantías, reclamos, etc. respecto de las ventas?</t>
  </si>
  <si>
    <t>(Total costos de improductividad o No-Calidad) / Total de las ventas</t>
  </si>
  <si>
    <t>No se mide, no se conoce o más del 10%</t>
  </si>
  <si>
    <t>&gt;  5 y ≤ 10%</t>
  </si>
  <si>
    <t>&gt; 2 -  ≤ 5%</t>
  </si>
  <si>
    <t>&gt; 1 - ≤ 2%</t>
  </si>
  <si>
    <t>0% - ≤ 1</t>
  </si>
  <si>
    <t>Con qué frecuencia se celebran Eventos Kaizen</t>
  </si>
  <si>
    <t>Esta pregunta revela qué tanto la empresa ha desarrollado una cultura propia de mejoramiento.</t>
  </si>
  <si>
    <t>¿Cuántas reuniones o actividades de mejoramiento continuo se realizan en la empresa?</t>
  </si>
  <si>
    <t>Nunca</t>
  </si>
  <si>
    <t>Semestral</t>
  </si>
  <si>
    <t>Trimestral</t>
  </si>
  <si>
    <t>Mensual</t>
  </si>
  <si>
    <t>Según sea necesario, muchos eventos pequeños todos los días.</t>
  </si>
  <si>
    <t>2.2. Mantenimiento</t>
  </si>
  <si>
    <t>Nivel de mantenimiento  preventivo</t>
  </si>
  <si>
    <t xml:space="preserve">¿El mantenimiento preventivo tiene y sigue un cronograma definido y se cumple?
</t>
  </si>
  <si>
    <t>% de cobertura</t>
  </si>
  <si>
    <t>No existe cronograma</t>
  </si>
  <si>
    <t>1%-10% Cobertura y el cumplimiento del cronograma inferior al 5%</t>
  </si>
  <si>
    <t>11%-30% Cobertura y cumplimiento del cronograma entre el 50 y 75%</t>
  </si>
  <si>
    <t>31%-90% Cobertura y cumplimiento del cronograma superior al 75%</t>
  </si>
  <si>
    <t>+91% de los equipos están en el cronograma y este se cumple al 100%</t>
  </si>
  <si>
    <t>2.3. Estado de la planta y oficinas</t>
  </si>
  <si>
    <t xml:space="preserve">Nivel de utilización del espacio de la planta y oficinas </t>
  </si>
  <si>
    <t>¿Qué área del espacio total se utiliza?</t>
  </si>
  <si>
    <t>Metros utilizados planta/ Total metros de la planta y oficinas</t>
  </si>
  <si>
    <t>na</t>
  </si>
  <si>
    <t>&gt; 0% - ≤ 15%</t>
  </si>
  <si>
    <t>&gt;15% - ≤30%</t>
  </si>
  <si>
    <t>&gt;30% - ≤45%</t>
  </si>
  <si>
    <t>&gt;45% ≤70%</t>
  </si>
  <si>
    <t>&gt;70%-100%</t>
  </si>
  <si>
    <t>Qué tanto se han implementado las 5S</t>
  </si>
  <si>
    <r>
      <rPr>
        <b/>
        <sz val="12"/>
        <rFont val="Palatino Linotype"/>
        <family val="1"/>
      </rPr>
      <t>5S</t>
    </r>
    <r>
      <rPr>
        <sz val="12"/>
        <rFont val="Palatino Linotype"/>
        <family val="1"/>
      </rPr>
      <t xml:space="preserve"> se tiene o no se tiene. Sin </t>
    </r>
    <r>
      <rPr>
        <b/>
        <sz val="12"/>
        <rFont val="Palatino Linotype"/>
        <family val="1"/>
      </rPr>
      <t>5S</t>
    </r>
    <r>
      <rPr>
        <sz val="12"/>
        <rFont val="Palatino Linotype"/>
        <family val="1"/>
      </rPr>
      <t xml:space="preserve"> las demás prácticas de gestión que la empresa quisiera implementar pueden caerse.</t>
    </r>
  </si>
  <si>
    <r>
      <t xml:space="preserve">No hemos hecho </t>
    </r>
    <r>
      <rPr>
        <b/>
        <sz val="12"/>
        <rFont val="Palatino Linotype"/>
        <family val="1"/>
      </rPr>
      <t>5S</t>
    </r>
    <r>
      <rPr>
        <sz val="12"/>
        <rFont val="Palatino Linotype"/>
        <family val="1"/>
      </rPr>
      <t xml:space="preserve">.
</t>
    </r>
  </si>
  <si>
    <t>Hemos hecho unos pocos esfuerzos y no se mantuvieron durante más de unas pocas semanas.</t>
  </si>
  <si>
    <t>Resultados mixtos: algunos esfuerzos se han sostenido y otros no.</t>
  </si>
  <si>
    <r>
      <t xml:space="preserve">Las </t>
    </r>
    <r>
      <rPr>
        <b/>
        <sz val="12"/>
        <rFont val="Palatino Linotype"/>
        <family val="1"/>
      </rPr>
      <t>5S</t>
    </r>
    <r>
      <rPr>
        <sz val="12"/>
        <rFont val="Palatino Linotype"/>
        <family val="1"/>
      </rPr>
      <t xml:space="preserve"> se sostienen, pero solo con una supervisión constante de la administración</t>
    </r>
  </si>
  <si>
    <r>
      <t xml:space="preserve">No es un problema, </t>
    </r>
    <r>
      <rPr>
        <b/>
        <sz val="12"/>
        <rFont val="Palatino Linotype"/>
        <family val="1"/>
      </rPr>
      <t>5S</t>
    </r>
    <r>
      <rPr>
        <sz val="12"/>
        <rFont val="Palatino Linotype"/>
        <family val="1"/>
      </rPr>
      <t xml:space="preserve"> siempre se sostiene y mejora por sí sola</t>
    </r>
  </si>
  <si>
    <t>2.4. Setups - puesta a punto de los equipos</t>
  </si>
  <si>
    <t>Tiempo de alistamiento</t>
  </si>
  <si>
    <t>¿Cuál es el tiempo promedio de configuración general para el equipo principal de la operación o el servicio?</t>
  </si>
  <si>
    <t>En minutos</t>
  </si>
  <si>
    <t>61+</t>
  </si>
  <si>
    <t>29-60</t>
  </si>
  <si>
    <t>16-30</t>
  </si>
  <si>
    <t>10-15</t>
  </si>
  <si>
    <t>0-9</t>
  </si>
  <si>
    <t>2.5. Aprovisionamiento e inventarios</t>
  </si>
  <si>
    <t>Nivel de rotación</t>
  </si>
  <si>
    <r>
      <t xml:space="preserve">Cuál es la rotación anual del </t>
    </r>
    <r>
      <rPr>
        <b/>
        <sz val="11"/>
        <rFont val="Calibri"/>
        <family val="2"/>
        <scheme val="minor"/>
      </rPr>
      <t>inventario</t>
    </r>
    <r>
      <rPr>
        <sz val="11"/>
        <rFont val="Calibri"/>
        <family val="2"/>
        <scheme val="minor"/>
      </rPr>
      <t xml:space="preserve"> (Inventario= Materias primas, productos en proceso y productos terminados)</t>
    </r>
  </si>
  <si>
    <t>Número de veces al año que rota el inventario.</t>
  </si>
  <si>
    <t>3 o menos</t>
  </si>
  <si>
    <t>4 a 7</t>
  </si>
  <si>
    <t>8 a 12</t>
  </si>
  <si>
    <t>13 a 19</t>
  </si>
  <si>
    <t>20 o más</t>
  </si>
  <si>
    <t>Cantidad de proveedores estratégicos o aliados por tipo de materia prima</t>
  </si>
  <si>
    <r>
      <t xml:space="preserve">¿Cuál es el número promedio de </t>
    </r>
    <r>
      <rPr>
        <b/>
        <sz val="11"/>
        <rFont val="Calibri"/>
        <family val="2"/>
        <scheme val="minor"/>
      </rPr>
      <t>proveedores estratégicos</t>
    </r>
    <r>
      <rPr>
        <sz val="11"/>
        <rFont val="Calibri"/>
        <family val="2"/>
        <scheme val="minor"/>
      </rPr>
      <t xml:space="preserve"> o aliados para cada materia prima o artículo (ítem) comprado por insumo o servicio?</t>
    </r>
  </si>
  <si>
    <t xml:space="preserve">
No. proveedores promedio por ítem</t>
  </si>
  <si>
    <t>5+</t>
  </si>
  <si>
    <t>Nivel de reabastecimiento</t>
  </si>
  <si>
    <t>En promedio, ¿con qué frecuencia, en meses, se colocan ordenes de reabastecimiento de los ítem?</t>
  </si>
  <si>
    <t>Meses</t>
  </si>
  <si>
    <t>1 y 8</t>
  </si>
  <si>
    <t>9 y 11</t>
  </si>
  <si>
    <t>12 y 17</t>
  </si>
  <si>
    <t>18 y 23</t>
  </si>
  <si>
    <t>24+</t>
  </si>
  <si>
    <t>2.6. Aprovisionamiento e inventarios</t>
  </si>
  <si>
    <t>Nivel del Pull System</t>
  </si>
  <si>
    <r>
      <t>¿Cuántos ítems de Materia Prima -</t>
    </r>
    <r>
      <rPr>
        <b/>
        <sz val="11"/>
        <rFont val="Calibri"/>
        <family val="2"/>
        <scheme val="minor"/>
      </rPr>
      <t>MP</t>
    </r>
    <r>
      <rPr>
        <sz val="11"/>
        <rFont val="Calibri"/>
        <family val="2"/>
        <scheme val="minor"/>
      </rPr>
      <t>-,  insumos y materiales comprados se entregan directamente en el sitio donde van ser usados sin inspección o almacenamiento entrantes?</t>
    </r>
  </si>
  <si>
    <r>
      <t xml:space="preserve">No. de ítems de </t>
    </r>
    <r>
      <rPr>
        <b/>
        <sz val="12"/>
        <rFont val="Palatino Linotype"/>
        <family val="1"/>
      </rPr>
      <t>MP</t>
    </r>
    <r>
      <rPr>
        <sz val="12"/>
        <rFont val="Palatino Linotype"/>
        <family val="1"/>
      </rPr>
      <t xml:space="preserve"> en sitio del proceso / No.total de </t>
    </r>
    <r>
      <rPr>
        <b/>
        <sz val="12"/>
        <rFont val="Palatino Linotype"/>
        <family val="1"/>
      </rPr>
      <t>MP</t>
    </r>
  </si>
  <si>
    <t>0%, es decir que todo el inventario se encuentra en una bodega separada de la planta.</t>
  </si>
  <si>
    <r>
      <t xml:space="preserve">1% ≤ 10%, es decir, la </t>
    </r>
    <r>
      <rPr>
        <b/>
        <sz val="12"/>
        <rFont val="Palatino Linotype"/>
        <family val="1"/>
      </rPr>
      <t>MP</t>
    </r>
    <r>
      <rPr>
        <sz val="12"/>
        <rFont val="Palatino Linotype"/>
        <family val="1"/>
      </rPr>
      <t xml:space="preserve"> y los productos terminados están en una bodega (s)</t>
    </r>
  </si>
  <si>
    <t>&gt;11% ≤ 50%</t>
  </si>
  <si>
    <t>&gt;50% ≤70%</t>
  </si>
  <si>
    <t>&gt;70% ≤100%</t>
  </si>
  <si>
    <t>Frecuencia del aprovisionamiento</t>
  </si>
  <si>
    <r>
      <t xml:space="preserve">¿Qué porcentaje de las materias primas y partes compradas se entrega </t>
    </r>
    <r>
      <rPr>
        <b/>
        <sz val="11"/>
        <rFont val="Calibri"/>
        <family val="2"/>
        <scheme val="minor"/>
      </rPr>
      <t>más de una vez por semana</t>
    </r>
    <r>
      <rPr>
        <sz val="11"/>
        <rFont val="Calibri"/>
        <family val="2"/>
        <scheme val="minor"/>
      </rPr>
      <t>?</t>
    </r>
  </si>
  <si>
    <r>
      <t xml:space="preserve">No. de ítems de </t>
    </r>
    <r>
      <rPr>
        <b/>
        <sz val="12"/>
        <rFont val="Palatino Linotype"/>
        <family val="1"/>
      </rPr>
      <t>MP</t>
    </r>
    <r>
      <rPr>
        <sz val="12"/>
        <rFont val="Palatino Linotype"/>
        <family val="1"/>
      </rPr>
      <t xml:space="preserve"> que entran mas de una vez por semana en sitio del proceso / No.total de </t>
    </r>
    <r>
      <rPr>
        <b/>
        <sz val="12"/>
        <rFont val="Palatino Linotype"/>
        <family val="1"/>
      </rPr>
      <t>MP</t>
    </r>
  </si>
  <si>
    <t>NA</t>
  </si>
  <si>
    <t>0%</t>
  </si>
  <si>
    <t>1%-10%</t>
  </si>
  <si>
    <t>11%-30%</t>
  </si>
  <si>
    <t>31%-70%</t>
  </si>
  <si>
    <t>70%-100%</t>
  </si>
  <si>
    <t>Nota:</t>
  </si>
  <si>
    <t>Productividad laboral</t>
  </si>
  <si>
    <t>Valor agregado por empleado. Considera el valor agregado por la empresa (ingresos - costos) dividido entre el número de empleados o el valor de los salarios</t>
  </si>
  <si>
    <r>
      <t>(Ingresos - Costos no relacionados con los empleados) /No. de empleados Full Time Equivalent -</t>
    </r>
    <r>
      <rPr>
        <b/>
        <sz val="12"/>
        <rFont val="Palatino Linotype"/>
        <family val="1"/>
      </rPr>
      <t>FTE</t>
    </r>
    <r>
      <rPr>
        <sz val="12"/>
        <rFont val="Palatino Linotype"/>
        <family val="1"/>
      </rPr>
      <t>- (Equivalente al tiempo completo).</t>
    </r>
  </si>
  <si>
    <t>No se calcula</t>
  </si>
  <si>
    <t>Se mide ocasionalmente</t>
  </si>
  <si>
    <t>Se calcula sólo para algunos proyectos, productos o servicios</t>
  </si>
  <si>
    <t>Se calcula a nivel de toda la empresa cada año y se compara con el año anterior</t>
  </si>
  <si>
    <r>
      <t>Se calcula antes y después de cada Orden de Producción -</t>
    </r>
    <r>
      <rPr>
        <b/>
        <sz val="12"/>
        <rFont val="Palatino Linotype"/>
        <family val="1"/>
      </rPr>
      <t>OP</t>
    </r>
    <r>
      <rPr>
        <sz val="12"/>
        <rFont val="Palatino Linotype"/>
        <family val="1"/>
      </rPr>
      <t>- o Servicio  y además se compara con otras empresas del sector.</t>
    </r>
  </si>
  <si>
    <t>(Ingresos - Costos no relacionados con los empleados) /Valor de los salarios.</t>
  </si>
  <si>
    <r>
      <t>Se calcula antes y después de cada Orden de Producción -</t>
    </r>
    <r>
      <rPr>
        <b/>
        <sz val="12"/>
        <rFont val="Palatino Linotype"/>
        <family val="1"/>
      </rPr>
      <t>OP</t>
    </r>
    <r>
      <rPr>
        <sz val="12"/>
        <rFont val="Palatino Linotype"/>
        <family val="1"/>
      </rPr>
      <t>- o Servicio y además se compara con otras empresas del sector.</t>
    </r>
  </si>
  <si>
    <t>Participación</t>
  </si>
  <si>
    <t>Revela el nivel de comprensión de la empresa sobre uno de los pilares fundamentales del Lean Management y el  compromiso del trabajador con la mejora  continua</t>
  </si>
  <si>
    <t>No. de ideas sugeridas y proyectos de mejoramiento al año, por trabajador</t>
  </si>
  <si>
    <t>No se proponen ideas o proyectos</t>
  </si>
  <si>
    <t>1-2 iniciativas por empleado implementadas cada año</t>
  </si>
  <si>
    <t>3-4 iniciativas por empleado implementadas cada año</t>
  </si>
  <si>
    <t>5-6 iniciativas por empleado implementadas cada año</t>
  </si>
  <si>
    <t>7-8 iniciativas por empleado implementadas cada año</t>
  </si>
  <si>
    <t>No. de miembros de equipos de trabajo, círculos de calidad o equipos de solución de problemas/ total de empleados</t>
  </si>
  <si>
    <t>≤ 5%</t>
  </si>
  <si>
    <t>&gt;5%- ≤  20%</t>
  </si>
  <si>
    <t>&gt;20%- ≤  40%</t>
  </si>
  <si>
    <t>&gt;40%- ≤  90%</t>
  </si>
  <si>
    <t>&gt; 90%-100%</t>
  </si>
  <si>
    <t>Índice de rotación de personal</t>
  </si>
  <si>
    <t>¿Cuál es la rotación anual del personal?</t>
  </si>
  <si>
    <t>No. de renuncias + despidos/No. Promedio de empleados año</t>
  </si>
  <si>
    <t>31%+</t>
  </si>
  <si>
    <t>&gt;11%- ≤ 31%</t>
  </si>
  <si>
    <t>&gt;7%- ≤ 11%</t>
  </si>
  <si>
    <t>&gt;3%- ≤ 7%</t>
  </si>
  <si>
    <t>0%- ≤ 3%</t>
  </si>
  <si>
    <t>Índice de ausentismo</t>
  </si>
  <si>
    <t>¿Cuál es el ausentismo anual del personal?</t>
  </si>
  <si>
    <t xml:space="preserve">Días ausentes hombre (año)  </t>
  </si>
  <si>
    <t>mas de 9</t>
  </si>
  <si>
    <t>&gt; 5 - ≤9</t>
  </si>
  <si>
    <t>&gt; 3 - ≤ 5</t>
  </si>
  <si>
    <t>&gt; 1 - ≤ 3</t>
  </si>
  <si>
    <t>&lt;1</t>
  </si>
  <si>
    <t>Nivel  de horas extras</t>
  </si>
  <si>
    <t>¿Cuál es el nivel de hora extras?</t>
  </si>
  <si>
    <t>Total horas extra/
Total horas trabajadas</t>
  </si>
  <si>
    <t xml:space="preserve">Muy frecuente y alto y\o no se controlan ni se pagan. </t>
  </si>
  <si>
    <t>Muy frecuente y alto y no se controlan; al final del mes simplemente se cuentan y pagan. Varias personas pueden ordenar horas extras.</t>
  </si>
  <si>
    <t>Se aceptan cuando hay problemas internos (daño de equipos, retraso en los procesos, cuellos de botellas, otros).</t>
  </si>
  <si>
    <t>Rara vez se requiere pagar horas extras y estas sólo se presentan debido a factores externos que la empresa no controla (cortes de energía, cierre de vías, etc.).</t>
  </si>
  <si>
    <t>Por política y gracias al nivel de organización avanzada no se necesitan horas extras.</t>
  </si>
  <si>
    <t>Entrenamiento</t>
  </si>
  <si>
    <t>Se refiere a recibir capacitación en formación de equipos, análisis y solución de problemas, trabajo estandarizado, principalmente.</t>
  </si>
  <si>
    <t>No. de personas entrenadas/ Total Empleados</t>
  </si>
  <si>
    <t xml:space="preserve"> ≤ 5%</t>
  </si>
  <si>
    <t>&gt;5%- ≤ 10%</t>
  </si>
  <si>
    <t>&gt; 10%- ≤ 30%</t>
  </si>
  <si>
    <t>&gt; 30%- ≤ 90%</t>
  </si>
  <si>
    <t>&gt; 90% - 100%</t>
  </si>
  <si>
    <t>Se refiere al número de horas de entrenamiento recibido. El estándar más alto sugiere 4 horas por semana.</t>
  </si>
  <si>
    <t>No. de horas de entrenamiento promedio por trabajador cada año</t>
  </si>
  <si>
    <t>0 - ≤ 45</t>
  </si>
  <si>
    <t>&gt;45 - ≤90</t>
  </si>
  <si>
    <t>&gt; 90 - ≤ 125</t>
  </si>
  <si>
    <t>&gt;125 - ≤ 160</t>
  </si>
  <si>
    <t>Mas de 160</t>
  </si>
  <si>
    <t>Accidentalidad</t>
  </si>
  <si>
    <t xml:space="preserve">¿Cuál es la Tasa de accidentalidad? </t>
  </si>
  <si>
    <t>Número de accidentes de trabajo en el periodo / promedio de trabajadores de la empresa</t>
  </si>
  <si>
    <t>No se mide.</t>
  </si>
  <si>
    <t>Mayor al promedio nacional.</t>
  </si>
  <si>
    <t>6,45% en el 2017, 6,15% en 2018 según Fasecolda</t>
  </si>
  <si>
    <t>Menor al promedio nacional.</t>
  </si>
  <si>
    <t>Cero accidentes.</t>
  </si>
  <si>
    <t>Gestión del riego de accidentalidad</t>
  </si>
  <si>
    <t>Se trata de verificar la implementación de acciones que mitiguen el riesgo de accidentalidad.</t>
  </si>
  <si>
    <r>
      <t>Esta pregunta considera el Sistema de Seguridad y Salud en el Trabajo (</t>
    </r>
    <r>
      <rPr>
        <b/>
        <sz val="12"/>
        <rFont val="Palatino Linotype"/>
        <family val="1"/>
      </rPr>
      <t>SSST</t>
    </r>
    <r>
      <rPr>
        <sz val="12"/>
        <rFont val="Palatino Linotype"/>
        <family val="1"/>
      </rPr>
      <t>)</t>
    </r>
  </si>
  <si>
    <t>No se miden incidentes, ni accidentes</t>
  </si>
  <si>
    <t>Se pierden días de trabajo debido a incidentes y accidentes menores e incapacitantes o accidentes graves.</t>
  </si>
  <si>
    <r>
      <t>Todas las personas usan equipos de protección individual  -</t>
    </r>
    <r>
      <rPr>
        <b/>
        <sz val="12"/>
        <rFont val="Palatino Linotype"/>
        <family val="1"/>
      </rPr>
      <t>EPI</t>
    </r>
    <r>
      <rPr>
        <sz val="12"/>
        <rFont val="Palatino Linotype"/>
        <family val="1"/>
      </rPr>
      <t>- completos y de buena calidad.</t>
    </r>
  </si>
  <si>
    <t>En todas las áreas y estaciones de trabajo se han implementado mejoras en seguridad.</t>
  </si>
  <si>
    <t>Se realiza, al menos, un simulacro de emergencia cada año.
El nivel de incidentes y accidentes es tendiente a cero.</t>
  </si>
  <si>
    <t>Eficiencia General de las Personas (EGP)</t>
  </si>
  <si>
    <t xml:space="preserve">Revela el desempeño o productividad de las personas de planta 
</t>
  </si>
  <si>
    <r>
      <rPr>
        <b/>
        <sz val="12"/>
        <rFont val="Palatino Linotype"/>
        <family val="1"/>
      </rPr>
      <t>EGP=Disponibilidad*Eficiencia*Calidad</t>
    </r>
    <r>
      <rPr>
        <sz val="12"/>
        <rFont val="Palatino Linotype"/>
        <family val="1"/>
      </rPr>
      <t xml:space="preserve">
(Tenga en cuenta que NO debe calcularlo, solo tomar los datos si la empresa lo mide)</t>
    </r>
  </si>
  <si>
    <t>≤ 40%</t>
  </si>
  <si>
    <t>&gt; 40 - ≤ 60%</t>
  </si>
  <si>
    <t>&gt; 60 - ≤ 85%</t>
  </si>
  <si>
    <t>&gt; 85 - 100%</t>
  </si>
  <si>
    <t>Trabajo estandarizado</t>
  </si>
  <si>
    <r>
      <t xml:space="preserve">Se trata de medir el nivel de avance en la realización de operaciones con base en Procedimientos Operacionales Estándar- </t>
    </r>
    <r>
      <rPr>
        <b/>
        <sz val="12"/>
        <rFont val="Palatino Linotype"/>
        <family val="1"/>
      </rPr>
      <t>POEs-</t>
    </r>
    <r>
      <rPr>
        <sz val="12"/>
        <rFont val="Palatino Linotype"/>
        <family val="1"/>
      </rPr>
      <t xml:space="preserve"> y demás componentes del trabajo estandarizado.</t>
    </r>
  </si>
  <si>
    <t xml:space="preserve"> % del personal con descripción de sus puestos de trabajo, entrenamiento en el sitio de trabajo y evaluación del desempeño operacional</t>
  </si>
  <si>
    <t>No se han implementado Trabajo estandarizado</t>
  </si>
  <si>
    <r>
      <t xml:space="preserve">Se han formulado </t>
    </r>
    <r>
      <rPr>
        <b/>
        <sz val="12"/>
        <rFont val="Palatino Linotype"/>
        <family val="1"/>
      </rPr>
      <t>POEs</t>
    </r>
    <r>
      <rPr>
        <sz val="12"/>
        <rFont val="Palatino Linotype"/>
        <family val="1"/>
      </rPr>
      <t xml:space="preserve"> sólo para algunas actividades críticas, pero no se ha dado entrenamiento</t>
    </r>
  </si>
  <si>
    <t>50% de los empleados laboran con base en trabajo estandarizado</t>
  </si>
  <si>
    <t>75% de los empleados laboran con base en trabajo estandarizado</t>
  </si>
  <si>
    <t>100% de los empleados laboran con base en trabajo estandarizado</t>
  </si>
  <si>
    <t>Desarrollo por competencias y polivalencia</t>
  </si>
  <si>
    <t>El indicador captura  las mejoras en el desarrollo profesional y su capacidad para integrar equipos de alto desempeño.</t>
  </si>
  <si>
    <t>% de trabajadores con desarrollo de competencias certificadas y polivalencia con base en estándares internacionales.</t>
  </si>
  <si>
    <t>No se ha implementado la formación  por competencias ni polivalencia</t>
  </si>
  <si>
    <t xml:space="preserve">25 % de los trabajadores  se encuentran entrenados  </t>
  </si>
  <si>
    <t xml:space="preserve">50 % de los trabajadores  se encuentran entrenados  </t>
  </si>
  <si>
    <t>Mas del 80% de los trabajadores  se encuentran entrenados  ( y algunos de ellos ya están certificados).</t>
  </si>
  <si>
    <t>Mas del 80% de los trabajadores se encuentran certificados y hacen parte de Equipos de Alto desempeño</t>
  </si>
  <si>
    <t>Políticas de género</t>
  </si>
  <si>
    <t>Busca establecer el nivel de compromiso explícito de la empresa con el respeto al trabajo digno por género.</t>
  </si>
  <si>
    <t>No hay una política evidente.</t>
  </si>
  <si>
    <t>Hay una política promulgada y socializada para favorecer la igualdad de género.</t>
  </si>
  <si>
    <t>Todos en la empresa han recibido capacitación sobre igualdad de género.</t>
  </si>
  <si>
    <t>Con frecuencia hay mujeres que son promovidas a cargos de mayor responsabilidad.</t>
  </si>
  <si>
    <t>Un porcentaje significativo de mujeres trabajan en la empresa en  condiciones de igualdad de género.</t>
  </si>
  <si>
    <t>Comparación de los costos de energía con los costos totales de producción</t>
  </si>
  <si>
    <t>¿Son significativos los costos de la energía eléctrica y térmica al compararlos con los costos totales de producción?</t>
  </si>
  <si>
    <t xml:space="preserve"> Costo de la electricidad, gas natural, carbón mineral u otros / Costo total operación (producción, administración, ventas).</t>
  </si>
  <si>
    <t>Muy Alto. Mayor a 25%</t>
  </si>
  <si>
    <t>Alto 
15-25%</t>
  </si>
  <si>
    <t>Medio
5-15%</t>
  </si>
  <si>
    <t>Bajo 
2-5%</t>
  </si>
  <si>
    <t>Insignificante 
Menor a 2%</t>
  </si>
  <si>
    <t>Implementación de medidas de eficiencia energética</t>
  </si>
  <si>
    <r>
      <t>¿La empresa ha implementado medidas de eficiencia energética</t>
    </r>
    <r>
      <rPr>
        <sz val="12"/>
        <rFont val="Palatino Linotype"/>
        <family val="1"/>
      </rPr>
      <t xml:space="preserve">? </t>
    </r>
  </si>
  <si>
    <t>Definir que tipo de medidas se han implementado</t>
  </si>
  <si>
    <t>No se han implementado medidas de eficiencia energética.</t>
  </si>
  <si>
    <t>Se han implementado solo buenas prácticas en la operación de equipos</t>
  </si>
  <si>
    <t>Se han implementado medidas de baja inversión</t>
  </si>
  <si>
    <t>Se han implementado proyectos de eficiencia energética de media o alta inversión</t>
  </si>
  <si>
    <t>Se han implementado proyectos de generación de energía y de eficiencia energética</t>
  </si>
  <si>
    <t>Medición del desempeño energético</t>
  </si>
  <si>
    <t>¿La empresa mide y analiza sus indicadores de consumo de energía?</t>
  </si>
  <si>
    <t>Definir el alcance de la revisión del desempeño energético de la empresa</t>
  </si>
  <si>
    <t>No se revisa el desempeño energético de la compañía</t>
  </si>
  <si>
    <t>La empresa utiliza solo factura de la energía para revisar el desempeño energético</t>
  </si>
  <si>
    <t>Se llevan indicadores de consumo de energía general de toda la planta</t>
  </si>
  <si>
    <t>Se llevan indicadores de consumo de energía por área y en los principales equipos</t>
  </si>
  <si>
    <t>La medición del desempeño energético se realiza conforme a la norma ISO 50.001 de sistemas de gestión de la energía</t>
  </si>
  <si>
    <t>Valoración técnica y referenciación con mejores practicas (Best Practices y Benchmarking)</t>
  </si>
  <si>
    <t>¿La empresa realiza evaluación o valoración a sus consumos energéticos, teniendo otros datos como referente ? (datos del sector, de otras industrias…)</t>
  </si>
  <si>
    <t>No hay revisiones formales o externas ni valoraciones de desempeño energético con base en referentes o mejores prácticas.</t>
  </si>
  <si>
    <t>Se realizan algunas evaluaciones y  comparaciones limitadas del desempeño y el funcionamiento de los equipos críticos.</t>
  </si>
  <si>
    <t>Se realizan revisiones por parte de los proveedores y  la empresa. La comparaciones son poco frecuentes y se hacen con base en  y las mejores prácticas de otras empresas.</t>
  </si>
  <si>
    <t>Se monitorean regularmente revistas comerciales, bases de datos internas, informes sectoriales  y reportes de otras empresas. Muchas mejores prácticas internacionales de EEn son compartidas e implementadas por la empresa</t>
  </si>
  <si>
    <t>La empresa tiene amplia experiencia en la realización de revisiones periódicas por parte de un equipo de profesionales internos y externo y se realiza una evaluación completa cada 5 años.</t>
  </si>
  <si>
    <t>Objetivos y metas de desempeño</t>
  </si>
  <si>
    <t>¿La empresa cuenta con objetivos y metas estratégicamente definidas para hacer más eficiente su desempeño energético?</t>
  </si>
  <si>
    <t>No hay objetivos de EEn establecidos.</t>
  </si>
  <si>
    <t>Hay algunos objetivos establecidos pero no están asociados con el desarrollo de las personas ni su compensación.</t>
  </si>
  <si>
    <t>Los objetivos están vagamente definidos. Hay poco conocimiento de los objetivos de EEn fuera del equipo técnico. El  equipo técnico recibe apoyo para su formación sobre el tema.</t>
  </si>
  <si>
    <t>Los objetivos están bien definidos, igual que las responsabilidades  de las personas, quienes han desarrollado sus  competencias profesionales y gozan de algunos incentivos por el logro de metas.</t>
  </si>
  <si>
    <t>Se conoce el potencial de mejora de la EEn, con base en la experiencia y las evaluaciones. Los objetivos se definen cada año a nivel de equipo/ planta / empresa y los indicadores de avance son publicados de forma regular (mes, semestre, etc.). Las personas responsables de la EEn son evaluadas y compensadas por sus logros.</t>
  </si>
  <si>
    <t>Plan de Acción para el  mejoramiento</t>
  </si>
  <si>
    <t xml:space="preserve">¿La empresa tiene formulado un plan de mejoramiento energético ? </t>
  </si>
  <si>
    <t>No hay plan escrito.</t>
  </si>
  <si>
    <r>
      <t xml:space="preserve">El Plan de Acción es limitado a iniciativas </t>
    </r>
    <r>
      <rPr>
        <i/>
        <sz val="12"/>
        <rFont val="Palatino Linotype"/>
        <family val="1"/>
      </rPr>
      <t>ad hoc</t>
    </r>
    <r>
      <rPr>
        <sz val="12"/>
        <rFont val="Palatino Linotype"/>
        <family val="1"/>
      </rPr>
      <t xml:space="preserve"> o a la reacción frente a algún evento o cambio que se presente.</t>
    </r>
  </si>
  <si>
    <t>Si bien hay un Plan de Acción, es informal y no muy conocido y si bien permite cumplir con algunos objetivos, solo se actualiza esporádicamente. Las decisiones que afectan a la energía se consideran solo con base en el costo.</t>
  </si>
  <si>
    <t>Los Planes de Acción incluyen el análisis de la energía o su costo. Los proyectos de EEn son evaluados con otras inversiones. El criterio de costo del ciclo de vida es aplicado.</t>
  </si>
  <si>
    <t>Los Planes de Acción son  formales, revisados, aprobados, presupuestados, distribuidos y su implementación es evaluada periódicamente.</t>
  </si>
  <si>
    <t>Implementación de los Planes de Acción</t>
  </si>
  <si>
    <r>
      <t xml:space="preserve">¿La empresa implementa un plan de acción de </t>
    </r>
    <r>
      <rPr>
        <b/>
        <sz val="12"/>
        <rFont val="Palatino Linotype"/>
        <family val="1"/>
      </rPr>
      <t>EEn</t>
    </r>
    <r>
      <rPr>
        <sz val="12"/>
        <rFont val="Palatino Linotype"/>
        <family val="1"/>
      </rPr>
      <t xml:space="preserve"> ? </t>
    </r>
  </si>
  <si>
    <t>La implementación de los Planes de Acción no esta bien desarrollada.</t>
  </si>
  <si>
    <t>Los Planes son insuficientes. Los contratos con los proveedores de energía se renuevan automáticamente sin revisión. Hay comunicación ocasional con representantes de las empresas de servicios públicos.</t>
  </si>
  <si>
    <t>La gestión de las relaciones con los agentes de interés relacionados con al Plan de Acción es todavía escasa e informal, aunque hay comunicaciones periódicas y  algunos reportes de información sobre la ejecución de los planes. Se realiza una revisión periódica de los contratos con los proveedores.</t>
  </si>
  <si>
    <t>La empresa apoya las iniciativas internas de EEn de manera sistemática. Los empleados son  conscientes de los costos de energía. Se practica una política de compras eficientes de energía</t>
  </si>
  <si>
    <t>Se dialoga con los agentes de interés, de manera formal, especialmente, con los representantes de empresas de servicios públicos. Se persiguen activamente oportunidades de networking. La empresa cuenta con certificaciones en mejores prácticas o Sistemas de Gestión de la Energía (ISO 50000 u otras)</t>
  </si>
  <si>
    <t>Documentación y análisis</t>
  </si>
  <si>
    <t>¿Existen registros históricos de mediciones y análisis de la demanda energética de la empresa?</t>
  </si>
  <si>
    <t xml:space="preserve"> No hay manuales, planos, diseños, dibujos, especificaciones, etc. para edificios y equipos, disponibles. No se realizan mediciones ni análisis de la demanda ni la facturación.</t>
  </si>
  <si>
    <t>Hay algunos documentos y registros disponibles y se realizan algunas revisiones  de las especificaciones de los equipos.</t>
  </si>
  <si>
    <t>Se realizan algunos ejercicios de medición, seguimiento, análisis y se elaboran algunos informes de manera selectiva. Las facturas de energía son analizadas cuidadosamente..</t>
  </si>
  <si>
    <t>Se guarda documentación de edificios y equipos críticos y es utilizada para las evaluaciones de carga  y la fijación de metas y objetivos de eficiencia.</t>
  </si>
  <si>
    <t>La carga y el desempeño de los  equipos clave es medido, rastreado, analizado y reportado. Se analiza la demanda pico de las instalaciones y se realizan los ajustes a la demanda en tiempo real.</t>
  </si>
  <si>
    <t>¿Cuál es el nivel de participación de la empresa en escenarios de EEn?</t>
  </si>
  <si>
    <t>No se informa internamente sobre el desempeño energético de la empresa, ni se participa en organizaciones externas.</t>
  </si>
  <si>
    <t>Hay personas de la empresas que a titulo individual se interesan y participan en actividades de EEn.</t>
  </si>
  <si>
    <t>La empresa participa en, al menos, un escenario de dialogo sobre la EEn.</t>
  </si>
  <si>
    <t>La empresa evidencia alguna participación, intercambio, tutoría, y membresías profesionales. La empresa presenta informes anuales sobre su desempeño energético.</t>
  </si>
  <si>
    <t xml:space="preserve">La empresa participa ampliamente en redes / organizaciones energéticas/ campañas/ gremios y comparte las mejores prácticas con otras organizaciones. La empresa realiza análisis y genera informes sobre su EEn, al menos, cada 3 meses. </t>
  </si>
  <si>
    <t>Compromiso con la Eficiencia Energética EEn.</t>
  </si>
  <si>
    <r>
      <t>Se evidencia el compromiso de la empresa de asignar líderes, recursos, tiempos... respecto a la eficiencia energética -</t>
    </r>
    <r>
      <rPr>
        <b/>
        <sz val="12"/>
        <rFont val="Palatino Linotype"/>
        <family val="1"/>
      </rPr>
      <t>EEn</t>
    </r>
    <r>
      <rPr>
        <sz val="12"/>
        <rFont val="Palatino Linotype"/>
        <family val="1"/>
      </rPr>
      <t>-.</t>
    </r>
  </si>
  <si>
    <t>No hay compromiso evidente de la alta administración,  lideres, y equipos de trabajo para mejorar la Eficiencia Energética EEn.</t>
  </si>
  <si>
    <t>Hay una organización informal con actividad esporádica.</t>
  </si>
  <si>
    <t>La alta dirección apoya implícitamente el Programa de EEn.
Hay responsables asignados pero no habilitados. El 20-40% del tiempo dedican a la EEn.</t>
  </si>
  <si>
    <t>La alta dirección apoya activamente el Programa y promueve la EEn en todas las áreas, equipos y operaciones de la empresa</t>
  </si>
  <si>
    <t xml:space="preserve">Hay un líder reconocido y capacitado que cuenta con personal de apoyo. Hay un equipo interdisciplinario activo que impulsa el Programa. </t>
  </si>
  <si>
    <t>Certificaciones de calidad</t>
  </si>
  <si>
    <t>La empresa cuenta con certificaciones de calidad?</t>
  </si>
  <si>
    <t>Certificado de calidad vigente</t>
  </si>
  <si>
    <t>No tiene</t>
  </si>
  <si>
    <t>Certificación derivada del cumplimiento de regulación técnica nacional</t>
  </si>
  <si>
    <t>La empresa cuenta con certificación (es) derivada (s) de regulación y otras voluntarias para gestión de la productividad</t>
  </si>
  <si>
    <t>Certificación de producto (si aplica)</t>
  </si>
  <si>
    <t>Certificación (es) internacional (es) específica (s) para el sector en los países de destino de la mercancía</t>
  </si>
  <si>
    <t>Gestión de procesos</t>
  </si>
  <si>
    <t>La gestión de calidad de la empresa involucra el 100% de procesos (evaluar si está incluido el proceso de producción, proveedores, materias primas o si es solo para la parte administrativa)</t>
  </si>
  <si>
    <t>Número de procesos de la empresa documentados con respecto al Total de procesos de la empresa</t>
  </si>
  <si>
    <t>No tiene procesos documentados</t>
  </si>
  <si>
    <t>Los procesos documentados son de las áreas administrativas</t>
  </si>
  <si>
    <t>Los procesos documentados son los de las áreas de producción</t>
  </si>
  <si>
    <t>Aprox. El 80% de los procesos están documentados, estandarizados y con indicadores de medición.</t>
  </si>
  <si>
    <t>100% de los procesos están documentados, estandarizados y con indicadores de medición.</t>
  </si>
  <si>
    <t xml:space="preserve">Equipo de Calidad </t>
  </si>
  <si>
    <t>La empresa cuenta con un área encargada de la gestión de calidad? O con personas a cargo en las diferentes áreas que se encarguen del seguimiento a la calidad?</t>
  </si>
  <si>
    <t>Número de personas que realizan control de la gestión de calidad  con respecto al número total de empleados</t>
  </si>
  <si>
    <t xml:space="preserve">No tiene personas que realizan control de la gestión de calidad </t>
  </si>
  <si>
    <t>10% de empleados o menos realizan gestión de calidad</t>
  </si>
  <si>
    <t>La empresa cuenta con un Área/Equipo/ Departamento de Gestión de Calidad</t>
  </si>
  <si>
    <t xml:space="preserve">La empresa además de tener un Departamento de Gestión de Calidad tiene líderes en cada área de la empresa que responden por seguimiento a la calidad </t>
  </si>
  <si>
    <t>Además de contar con un Departamento de Calidad, el 100% de empleados reportan seguimiento a indicadores de calidad de procesos</t>
  </si>
  <si>
    <t xml:space="preserve">Estándares de calidad </t>
  </si>
  <si>
    <t xml:space="preserve">Los referentes de calidad que utiliza la empresa están relacionados con estándares internos o solo especificaciones del cliente o regulaciones nacionales o estándares internacionales </t>
  </si>
  <si>
    <t>Cuentan con las normas, regulaciones o especificaciones en el sistema documental</t>
  </si>
  <si>
    <t>Solo cumplen criterios de calidad cuando algún cliente lo pide</t>
  </si>
  <si>
    <t>Estándares internos de la empresa</t>
  </si>
  <si>
    <t>Solo cumplen regulaciones nacionales exigidas por el Gobierno</t>
  </si>
  <si>
    <t>Combinación de regulación nacional, estándares internos y especificaciones del cliente</t>
  </si>
  <si>
    <t>Cumplen regulaciones nacionales, especificaciones de los clientes Y estándares internacionales</t>
  </si>
  <si>
    <t xml:space="preserve">Satisfacción del cliente </t>
  </si>
  <si>
    <t xml:space="preserve">Calidad entregada </t>
  </si>
  <si>
    <t>La respuesta debe estar basada en consultas, encuestas, entrevistas a los clientes y estar documentadas, No en una apreciación subjetiva de la empresa.</t>
  </si>
  <si>
    <t xml:space="preserve">No se mide </t>
  </si>
  <si>
    <t>Constantemente hay reclamos por calidad de productos o servicios</t>
  </si>
  <si>
    <t>Aproximadamente el 50% de entregas tiene reclamo</t>
  </si>
  <si>
    <t>Ocasionalmente se recibe una reclamación por calidad y la empresa tiene proceso de gestión de reclamos documentado y con indicadores establecidos.</t>
  </si>
  <si>
    <t>Desarrollo de nuevos productos o servicios</t>
  </si>
  <si>
    <t>¿Cuál es la participación de los productos o servicios desarrollados en  los  últimos 3 años, en las ventas de cada año?</t>
  </si>
  <si>
    <t xml:space="preserve">%  del total Ventas de Nuevos Productos o Servicios / Ventas totales </t>
  </si>
  <si>
    <t>No se conoce</t>
  </si>
  <si>
    <t>Hasta el 5%</t>
  </si>
  <si>
    <t>&gt;5%- ≤10%</t>
  </si>
  <si>
    <t>&gt;10%- ≤20%</t>
  </si>
  <si>
    <t>Más del 20%</t>
  </si>
  <si>
    <t>Rentabilidad de la inversión en los nuevos productos o servicios</t>
  </si>
  <si>
    <t>Se considera que un producto o servicio es más rentable en cuanto sea totalmente nuevo para el mercado y la empresa, es decir, en cuanto más riesgoso sea.</t>
  </si>
  <si>
    <t>Nivel de rentabilidad general.</t>
  </si>
  <si>
    <t>&gt; 5% - ≤ 10%</t>
  </si>
  <si>
    <t>&gt; 10% ≤ 25%</t>
  </si>
  <si>
    <t>&gt; 25% ≤ 80%</t>
  </si>
  <si>
    <t>Es inversamente proporcional al riesgo, es decir, superior al 80%</t>
  </si>
  <si>
    <t>Agilidad</t>
  </si>
  <si>
    <t>¿Busca establecer qué tan dinámica es la empresa en responder o adelantarse a los competidores, con nuevos productos o servicios?.</t>
  </si>
  <si>
    <t>Tiempo que transcurre desde que se decide desarrollar el producto o servicio hasta su lanzamiento.</t>
  </si>
  <si>
    <t>No se define, ni se mide.</t>
  </si>
  <si>
    <t>Más de 9 meses.</t>
  </si>
  <si>
    <t>&gt; 6 - ≤ 9 meses.</t>
  </si>
  <si>
    <t>6 meses.</t>
  </si>
  <si>
    <t>Menos de 6 meses.</t>
  </si>
  <si>
    <t>Personal dedicado a I+D+i</t>
  </si>
  <si>
    <t>La dedicación de personal revela el compromiso y nivel de sinergia interna alcanzado por la empresa en relación con la I+D+i.</t>
  </si>
  <si>
    <t>No. de personas dedicadas a actividades de I+D+i / Total de empleados</t>
  </si>
  <si>
    <t>No hay personal dedicado</t>
  </si>
  <si>
    <t>El personal asignado a I+D+i sólo realiza estas actividades en tiempos "libres" que les permite sus operaciones del día a día.</t>
  </si>
  <si>
    <t xml:space="preserve">Hay dos o más equipos o personas  trabajando de manera separada en el desarrollo de nuevos productos, estandarización y mejoramiento continúo. </t>
  </si>
  <si>
    <t>Comienza la integración del Sistema de Gestión de la Innovación total y el portafolio de proyectos de toda la empresa</t>
  </si>
  <si>
    <t>Hay un área o departamento que lidera la gestión del I+D+i, con proyectos de estandarización, mejoramiento e innovación y trabajo en red con otras áreas internas y agentes externos</t>
  </si>
  <si>
    <t>Quién hace el desarrollo de nuevos servicios o productos</t>
  </si>
  <si>
    <t>Qué tanto los nuevos productos o servicios son impulsados desde adentro versus qué tanto corresponde a necesidades validadas con los clientes potenciales.</t>
  </si>
  <si>
    <t>No hay desarrollo de nuevos servicios o productos</t>
  </si>
  <si>
    <t xml:space="preserve">Hay personal en la empresa que espontáneamente y adicional a sus funciones desarrolla nuevos productos y servicios </t>
  </si>
  <si>
    <t xml:space="preserve">Hay personal en la empresa dedicado a desarrollar nuevos productos y servicios </t>
  </si>
  <si>
    <r>
      <t>Los nuevos productos y/o servicios son un esfuerzo conjunto entre</t>
    </r>
    <r>
      <rPr>
        <sz val="12"/>
        <color rgb="FFFF0000"/>
        <rFont val="Calibri"/>
        <family val="2"/>
        <scheme val="minor"/>
      </rPr>
      <t xml:space="preserve"> </t>
    </r>
    <r>
      <rPr>
        <sz val="12"/>
        <rFont val="Calibri"/>
        <family val="2"/>
        <scheme val="minor"/>
      </rPr>
      <t>diferente</t>
    </r>
    <r>
      <rPr>
        <sz val="12"/>
        <color theme="1"/>
        <rFont val="Calibri"/>
        <family val="2"/>
        <scheme val="minor"/>
      </rPr>
      <t>s áreas de la empresa  (ingeniería, ventas, compras y producción)</t>
    </r>
  </si>
  <si>
    <t xml:space="preserve">Tanto los clientes como los proveedores son traídos desde una etapa temprana para hacer parte del proceso del desarrollo de nuevos productos y/o servicios </t>
  </si>
  <si>
    <t>Se considera la capacidad del proceso en el desarrollo de nuevos productos o servicios</t>
  </si>
  <si>
    <t>Suele acontecer que las empresas tienen muchas ideas, incluso nuevos productos y/o servicios, pero la capacidad de la empresa no es suficiente o inexistente. Considera usted la capacidad que le queda disponible en su empresa para desarrollar nuevos productos /servicios ?</t>
  </si>
  <si>
    <t>No se conoce cuál es la capacidad del proceso</t>
  </si>
  <si>
    <t>Sólo si el encargado de la producción o del desarrollo del servicio piensa que debería considerarlo.</t>
  </si>
  <si>
    <t>La empresa se preocupa por la capacidad de proceso pero no por los proveedores.</t>
  </si>
  <si>
    <t>Se mira la capacidad actual y se le pide a algunos proveedores que aseguren o reserven sus capacidades de proceso en favor de la empresa.</t>
  </si>
  <si>
    <t>Es un aporte crítico en todos los aspectos del desarrollo de servicios o productos.</t>
  </si>
  <si>
    <t>Articulación</t>
  </si>
  <si>
    <t>La pertenencia a un ecosistema de innovación incrementa la probabilidad de éxito del I+D+i y reduce el tiempo y los costos de los nuevos desarrollos.</t>
  </si>
  <si>
    <t>Su evaluación podría ser medida por el número de partes interesadas con los cuales la empresa mantiene una relación que genera valor.</t>
  </si>
  <si>
    <t>La empresa trabaja sola.</t>
  </si>
  <si>
    <t>Se trabaja con otras empresas para desarrollar nuevos productos/servicios y procesos.
Se tiene buena relación con los proveedores ("gana-gana").</t>
  </si>
  <si>
    <t>Se trabaja conjuntamente con universidades y centros de investigación que ayuden a mejorar y desarrollar el conocimiento. Así como también con entidades locales y nacionales de educación para comunicar las necesidades, nuevas competencias y habilidades.</t>
  </si>
  <si>
    <t>Se intentan desarrollar redes externas de personas que puedan ayudar, por ejemplo, con conocimiento especializado.</t>
  </si>
  <si>
    <t>Se entienden las necesidades de los clientes y usuarios finales.
Se trabaja conjuntamente con los clientes en la exploración y el desarrollo de nuevos conceptos.
Así como también con "usuarios líderes" para el desarrollo de nuevos productos y servicios innovadores.</t>
  </si>
  <si>
    <t>Cuál es el nivel de participación de los proveedores en el desarrollo de productos o servicios</t>
  </si>
  <si>
    <t>Indaga acerca de la política de la empresa para trabajar de manera colaborativa con los proveedores en la ideación y el desarrollo de nuevos productos o servicios.</t>
  </si>
  <si>
    <t>Un mayor involucramiento del proveedor en el diseño del producto puede contribuir a reducir significativamente el tiempo de ciclo de desarrollo de nuevos productos o servicios.</t>
  </si>
  <si>
    <t>Ninguna</t>
  </si>
  <si>
    <t>Nuestros encargados obtienen toda la información del proveedor que necesitan, de publicaciones comerciales.</t>
  </si>
  <si>
    <t>Se habla con los proveedores que hacen 1 o 2 componentes críticos.</t>
  </si>
  <si>
    <t>Se consulta con los principales proveedores antes de comenzar un nuevo producto/servicio.</t>
  </si>
  <si>
    <t>Rutinariamente se consulta con los proveedores importantes para obtener sus ideas sobre los productos / servicios que se podrían desarrollar.</t>
  </si>
  <si>
    <t>Inversión en I+D+i 
(Investigación, desarrollo e innovación)</t>
  </si>
  <si>
    <t>Hay que considerar que el monto tiene relación con el sector al cual pertenece la empresa. Los % que se mencionan en la escala son un nivel promedio para PYMES.</t>
  </si>
  <si>
    <t>Valor invertido en  I+D+I por año/ Ventas totales por año.</t>
  </si>
  <si>
    <t>No se realiza  inversión.</t>
  </si>
  <si>
    <t>Se realiza, pero no se calcula cuánto se invierte.</t>
  </si>
  <si>
    <t>Se calcula sólo después que termina el periodo.</t>
  </si>
  <si>
    <t>1 – 2% Ventas.</t>
  </si>
  <si>
    <t>&gt; 2% Anual.</t>
  </si>
  <si>
    <t>Portafolio de proyectos de innovación</t>
  </si>
  <si>
    <t>Se refiere al portafolio de iniciativas que son valoradas por su aporte económico a la reducción de costos, gastos, capital de trabajo o la generación de ingresos</t>
  </si>
  <si>
    <r>
      <t>No. de proyectos y Valor Presente Neto (</t>
    </r>
    <r>
      <rPr>
        <b/>
        <sz val="12"/>
        <rFont val="Calibri"/>
        <family val="2"/>
        <scheme val="minor"/>
      </rPr>
      <t>VPN</t>
    </r>
    <r>
      <rPr>
        <sz val="12"/>
        <rFont val="Calibri"/>
        <family val="2"/>
        <scheme val="minor"/>
      </rPr>
      <t xml:space="preserve">) de cada proyecto </t>
    </r>
  </si>
  <si>
    <t>No se gestionan proyectos de estandarización, mejoramiento o innovación.</t>
  </si>
  <si>
    <t>Se gestionan proyectos de estandarización y mejoramiento.</t>
  </si>
  <si>
    <t xml:space="preserve">Se ejecutan proyectos de estandarización, mejoramiento, innovación y cambio de manera permanente, pero no estructurada. </t>
  </si>
  <si>
    <t>La empresa cuenta con iniciativas de estandarización, mejoramiento e innovación y las gestiona como un portafolio de inversión</t>
  </si>
  <si>
    <t>La empresa cuenta con un portafolio de proyectos de estandarización, mejoramiento e innovación que contribuye a incrementar el valor total de la empresa por su VPN agregado.</t>
  </si>
  <si>
    <t>Propiedad intelectual y mecanismos de protección.</t>
  </si>
  <si>
    <t>Se refiere a las inversiones que generan activos intangibles, valorables y amortizables</t>
  </si>
  <si>
    <t>Número de registros de propiedad intelectual, patentes.</t>
  </si>
  <si>
    <t>Sin actividad.</t>
  </si>
  <si>
    <t>Se trabaja con licencias de terceros.</t>
  </si>
  <si>
    <t>Existen registros de marca, pero aún no se registran patentes propias.</t>
  </si>
  <si>
    <t>Registro de patentes propias.</t>
  </si>
  <si>
    <t>Venta de derechos y patentes o licencias propias a terceros.</t>
  </si>
  <si>
    <t>Visión</t>
  </si>
  <si>
    <t>¿La empresa tiene una visión de transformación digital?</t>
  </si>
  <si>
    <t>Hay poca motivación de los altos ejecutivos para implementar soluciones o estrategias digitales.</t>
  </si>
  <si>
    <t>La propuesta de valor digital comienza a ser reconocida por los ejecutivos.</t>
  </si>
  <si>
    <t xml:space="preserve">La estrategia digital está siendo implementada. 
</t>
  </si>
  <si>
    <t>La estrategia digital está integrada al proceso de planeación por áreas e influye en la estrategia y dirección de la empresa.</t>
  </si>
  <si>
    <t>La estrategia digital está incorporada, y es indistinguible de la visión y la estrategia de la organización.</t>
  </si>
  <si>
    <t xml:space="preserve">Personal </t>
  </si>
  <si>
    <t>¿Qué tanto busca el personal de la empresa implementar una estrategia digital en sus procesos?</t>
  </si>
  <si>
    <t>Sólo hay impulso de abajo hacia arriba (bottom-up) por parte del personal para abrazar la cultura digital.</t>
  </si>
  <si>
    <t>Hay un pequeño número de empleados comprometidos en proyectos o iniciativas  digitales.</t>
  </si>
  <si>
    <t>La estrategia digital es desarrollada y adoptada por el personal.</t>
  </si>
  <si>
    <t>Todo el personal adopta plenamente la estrategia digital y está impulsando el cambio cultural.</t>
  </si>
  <si>
    <t>Todo el personal es digitalmente inteligente y consciente; mantener un "equipo digital" que se adapta permanentemente, es un imperativo.</t>
  </si>
  <si>
    <t>Experiencia de   transformación digital del cliente</t>
  </si>
  <si>
    <t>¿Cuál es la estrategia de transformación digital para el cliente?</t>
  </si>
  <si>
    <t>Ninguna.</t>
  </si>
  <si>
    <t>Estrategia Digital de producto y servicio.</t>
  </si>
  <si>
    <r>
      <t>CRM (</t>
    </r>
    <r>
      <rPr>
        <i/>
        <sz val="12"/>
        <rFont val="Palatino Linotype"/>
        <family val="1"/>
      </rPr>
      <t>Customer Relationship Management)</t>
    </r>
    <r>
      <rPr>
        <sz val="12"/>
        <rFont val="Palatino Linotype"/>
        <family val="1"/>
      </rPr>
      <t xml:space="preserve"> para Marketing y Soporte.</t>
    </r>
  </si>
  <si>
    <t>Customer Engagement /Clientes comprometidos y fidelizados con los productos/servicios ofrecidos por la empresa.
Omnicanalidad.</t>
  </si>
  <si>
    <t>Experiencia del cliente.</t>
  </si>
  <si>
    <t>Canales</t>
  </si>
  <si>
    <t>¿Existen canales digitales que estén integrados con los diferentes procesos del negocio?</t>
  </si>
  <si>
    <t>No hay integración de los canales digitales con los procesos o sistemas del negocio.</t>
  </si>
  <si>
    <t>Hay cierta integración de los canales digitales con los procesos y estrategia de comunicaciones de la empresa</t>
  </si>
  <si>
    <t>Una mayor integración de múltiples sistemas de TI  ayudan al desarrollo de servicios comunes y  personalizados por cliente.</t>
  </si>
  <si>
    <t>El equipo de TI proporciona información proactiva a los proyectos de digitalización y reingeniería de negocios.</t>
  </si>
  <si>
    <t>Los procesos de negocios y los sistemas de TI están impulsados por los canales digitales y las necesidades de los clientes.</t>
  </si>
  <si>
    <t>Innovación</t>
  </si>
  <si>
    <t>¿la empresa busca aplicar tecnologías digitales para el servicio de la organización y los clientes?</t>
  </si>
  <si>
    <t>No se intenta considerar cómo las soluciones digitales pueden beneficiar a la organización y los clientes.</t>
  </si>
  <si>
    <t>Los procesos de negocios que son fáciles y rentables de entregar en línea se están digitalizando.</t>
  </si>
  <si>
    <t>Todas las prácticas comerciales y los procesos se están revisando y priorizando para la conversión a canales digitales.</t>
  </si>
  <si>
    <t>Las necesidades y expectativas de los clientes impulsan la innovación en la prestación de servicios: nuevos servicios, nuevos productos, nuevas relaciones.</t>
  </si>
  <si>
    <t>Toda la organización busca formas de utilizar los canales y tecnologías digitales para redefinir el servicio al cliente y generar nuevos beneficios.</t>
  </si>
  <si>
    <t>Inteligencia de Negocio</t>
  </si>
  <si>
    <t>¿Cuál es la estrategia digital de inteligencia de negocio?</t>
  </si>
  <si>
    <t>Hace referencia al uso de estrategias y herramientas que sirven para transformar información en conocimiento, con el objetivo de mejorar el proceso de toma de decisiones en una empresa.</t>
  </si>
  <si>
    <t>No hay gestión de la información o datos de la empresa</t>
  </si>
  <si>
    <r>
      <t xml:space="preserve">Uso de herramientas para </t>
    </r>
    <r>
      <rPr>
        <b/>
        <sz val="12"/>
        <rFont val="Palatino Linotype"/>
        <family val="1"/>
      </rPr>
      <t>almacenamiento</t>
    </r>
    <r>
      <rPr>
        <sz val="12"/>
        <rFont val="Palatino Linotype"/>
        <family val="1"/>
      </rPr>
      <t xml:space="preserve"> o repositorio de datos  (herramientas de gestión de datos)</t>
    </r>
  </si>
  <si>
    <r>
      <t xml:space="preserve">Aplicaciones para </t>
    </r>
    <r>
      <rPr>
        <b/>
        <sz val="12"/>
        <rFont val="Palatino Linotype"/>
        <family val="1"/>
      </rPr>
      <t>generación de informes</t>
    </r>
    <r>
      <rPr>
        <sz val="12"/>
        <rFont val="Palatino Linotype"/>
        <family val="1"/>
      </rPr>
      <t xml:space="preserve">, que recopila la información y permite mantener a la gerencia informada sobre el estado de su negocio. </t>
    </r>
  </si>
  <si>
    <r>
      <t xml:space="preserve">Uso de cuadros de mando ejecutivos o resúmenes visuales de información del negocio, que muestran una </t>
    </r>
    <r>
      <rPr>
        <b/>
        <sz val="12"/>
        <rFont val="Palatino Linotype"/>
        <family val="1"/>
      </rPr>
      <t>comprensión global de la empresa a través de métricas</t>
    </r>
    <r>
      <rPr>
        <sz val="12"/>
        <rFont val="Palatino Linotype"/>
        <family val="1"/>
      </rPr>
      <t xml:space="preserve"> e Indicadores Clave de Desempeño (KPIs).</t>
    </r>
  </si>
  <si>
    <r>
      <t>Uso de aplicaciones para el análisis de información de bases de datos que permita la identificación de patrones o tendencias (Clientes, procesos, etc.) en un alto volumen de datos. (</t>
    </r>
    <r>
      <rPr>
        <b/>
        <sz val="12"/>
        <color theme="1"/>
        <rFont val="Palatino Linotype"/>
        <family val="1"/>
      </rPr>
      <t xml:space="preserve">análisis predictivos, </t>
    </r>
    <r>
      <rPr>
        <b/>
        <i/>
        <sz val="12"/>
        <color theme="1"/>
        <rFont val="Palatino Linotype"/>
        <family val="1"/>
      </rPr>
      <t>big data, data mining, data analytic</t>
    </r>
    <r>
      <rPr>
        <i/>
        <sz val="12"/>
        <color theme="1"/>
        <rFont val="Palatino Linotype"/>
        <family val="1"/>
      </rPr>
      <t>s</t>
    </r>
    <r>
      <rPr>
        <sz val="12"/>
        <color theme="1"/>
        <rFont val="Palatino Linotype"/>
        <family val="1"/>
      </rPr>
      <t>)</t>
    </r>
  </si>
  <si>
    <t>Marketing</t>
  </si>
  <si>
    <t>¿Cuál es la estrategia de venta y mercadeo ?</t>
  </si>
  <si>
    <t>Nos compran, no vendemos.</t>
  </si>
  <si>
    <t>Se basa en las relaciones personales, la indagación Voz a voz y la presencialidad.</t>
  </si>
  <si>
    <t>Email, Base de datos de clientes, Google calendar, Presencia Web, WhatsApp, redes sociales sin pago.</t>
  </si>
  <si>
    <t>Redes sociales, Marketing Digital, análisis de datos, Pasarelas de pago, carrito de compras, tienda virtual.</t>
  </si>
  <si>
    <t xml:space="preserve">Plataformas de transformación digital, CRM
</t>
  </si>
  <si>
    <t>Monetización virtual</t>
  </si>
  <si>
    <t>¿La empresa cuenta con una estructura de pagos virtuales?</t>
  </si>
  <si>
    <t>Presencial, tradicional.</t>
  </si>
  <si>
    <t>Seguridad digital, redes sociales básicas, Bancarización.</t>
  </si>
  <si>
    <t>Botón de pago, adecuación del modelo de negocio para la virtualización.</t>
  </si>
  <si>
    <t xml:space="preserve">Comercio electrónico </t>
  </si>
  <si>
    <t>Compras de la empresa</t>
  </si>
  <si>
    <t>¿La empresa cuenta con una estructura de compras virtuales?</t>
  </si>
  <si>
    <t xml:space="preserve">Se utilizan métodos convencionales, compras presenciales, tradicionales, telefónicas. Sin una relación digital </t>
  </si>
  <si>
    <t xml:space="preserve">Se realiza una relación de gastos en Excel, con solicitud vía mail. Con base en esto se realizan los pagos a las compras realizadas </t>
  </si>
  <si>
    <t>Se compra en línea y algunas veces el pago es presencial.</t>
  </si>
  <si>
    <t>Se compra en línea y paga mediante transferencias Business to Business -B2B- totalmente en línea.</t>
  </si>
  <si>
    <t>Se realizan negociaciones de compras en línea y se paga totalmente en línea</t>
  </si>
  <si>
    <t>Gestión financiera y administrativa</t>
  </si>
  <si>
    <t>¿la empresa cuenta con una  herramienta digital de gestión financiera y administrativa?</t>
  </si>
  <si>
    <t>No se llevan registros.</t>
  </si>
  <si>
    <t>Sólo se llevan registros físicos.</t>
  </si>
  <si>
    <t>Ofimática: Macros y tablas de Excel.</t>
  </si>
  <si>
    <t xml:space="preserve">Hay soluciones específicas: presupuesto, factura electrónica, digitalización de la contabilidad, liquidación de impuestos cotizaciones, recaudo, trámites y servicios en línea. </t>
  </si>
  <si>
    <r>
      <t xml:space="preserve">Soluciones integradas:  </t>
    </r>
    <r>
      <rPr>
        <b/>
        <i/>
        <sz val="12"/>
        <rFont val="Palatino Linotype"/>
        <family val="1"/>
      </rPr>
      <t>Enterprise resource planning -</t>
    </r>
    <r>
      <rPr>
        <sz val="12"/>
        <rFont val="Palatino Linotype"/>
        <family val="1"/>
      </rPr>
      <t>ERP- utilizadas en más del 80% de su potencial de servicios.</t>
    </r>
  </si>
  <si>
    <t>Costo logístico nacional</t>
  </si>
  <si>
    <t xml:space="preserve"> </t>
  </si>
  <si>
    <t>Valor del costo logístico nacional/ Ventas nacionales</t>
  </si>
  <si>
    <t>No se conoce, no se mide</t>
  </si>
  <si>
    <t>Superior al 13,5%</t>
  </si>
  <si>
    <t>&gt; 10 - ≤ 13,5%</t>
  </si>
  <si>
    <t>≥ 8 y ≤ 10%</t>
  </si>
  <si>
    <t>Menor al 8%</t>
  </si>
  <si>
    <t>Costo logístico comercio exterior</t>
  </si>
  <si>
    <t>Costo logístico como porcentaje de las ventas.</t>
  </si>
  <si>
    <t>Valor del costo logístico internacional/ Ventas internacionales</t>
  </si>
  <si>
    <t>Superior al 50%</t>
  </si>
  <si>
    <t>&gt; 45 - ≤ 50%</t>
  </si>
  <si>
    <t>≥ 38  - ≤ 45%</t>
  </si>
  <si>
    <t>Menor al 38%</t>
  </si>
  <si>
    <t>Tiempo de cargue y descargue</t>
  </si>
  <si>
    <t>Se refiere al tiempo de los procesos de cargue y distribución y almacenamiento de mercancía.</t>
  </si>
  <si>
    <t>Tiempo de espera para cargue.</t>
  </si>
  <si>
    <t>Más de 7 horas</t>
  </si>
  <si>
    <t>&gt; 5  - ≤ 7 horas</t>
  </si>
  <si>
    <t>≥ 3.6 -  ≤ 5 horas</t>
  </si>
  <si>
    <t>Menor a 3.6 horas</t>
  </si>
  <si>
    <t>Tiempo de cargue.</t>
  </si>
  <si>
    <t>≥ 3.3 - ≤ 5 horas</t>
  </si>
  <si>
    <t>Menor a 3.3 horas</t>
  </si>
  <si>
    <t>Tiempo de espera para descargue.</t>
  </si>
  <si>
    <t>≥ 3.8 - ≤ 5 horas</t>
  </si>
  <si>
    <t>Menor a 3.8 horas</t>
  </si>
  <si>
    <t>Tiempo de descargue.</t>
  </si>
  <si>
    <t>≥ 2.6 - ≤ 5 horas</t>
  </si>
  <si>
    <t>Menor a 2.6 horas</t>
  </si>
  <si>
    <t>Tiempo de abastecimiento y distribución</t>
  </si>
  <si>
    <t>Mide el tiempo promedio desde que se solicita un pedido a un proveedor (o de un cliente) nacional o internacional hasta que es entregado</t>
  </si>
  <si>
    <t>Días de abastecimiento.</t>
  </si>
  <si>
    <t>No se conoce, no se mide.</t>
  </si>
  <si>
    <t>Superior a 60 días.</t>
  </si>
  <si>
    <t>&gt; 40  - ≤ 60 días.</t>
  </si>
  <si>
    <t>≥ 24 - ≤ 40 días.</t>
  </si>
  <si>
    <t>Abastecimiento menor a 24 días.</t>
  </si>
  <si>
    <t>Días de distribución.</t>
  </si>
  <si>
    <t>≥ 28 - ≤ 40 días.</t>
  </si>
  <si>
    <t>Distribución menor a 28 días.</t>
  </si>
  <si>
    <t>Costos internos y externos de No-calidad</t>
  </si>
  <si>
    <t>Se refiere a los costos en que incurre la empresa después de la  entrega del producto o servicio al cliente, por los defectos que este descubre y reclama.</t>
  </si>
  <si>
    <t xml:space="preserve">Los costos de no calidad se definen como aquellas fallas evitables producidas por incumplimientos en un servicio o producto, como por ejemplo: desperdicios, devoluciones, reparaciones, reemplazos, gastos por atención a quejas y exigencias de cumplimiento de garantías, negocios que dejaron de hacerse, entre otros. </t>
  </si>
  <si>
    <t>No se cuantifican, mas sí se presentan en alto volumen y son atendidas caso por caso de manera reactiva, es decir, cuando el cliente llama a reclamar</t>
  </si>
  <si>
    <t xml:space="preserve">La empresa mide el valor total de los costos  de No-calidad,  más no el costo del daño emergente y el lucro cesante generado para el cliente. La medición del costo interno incluye; el costo de lo que se hizo mal + el costo de la reparación + el costo de oportunidad + el costo de los controles de calidad que no operaron + el costo reputacional.  </t>
  </si>
  <si>
    <t>Entre las respuestas 2 y 4</t>
  </si>
  <si>
    <t>La empresa mide el valor de los costos  de No-calidad generados para la empresa, y también el costo del daño emergente y el lucro cesante generado para el cliente.</t>
  </si>
  <si>
    <t>Cero reclamaciones de garantía (costo de reparación / reemplazo según las estipulaciones de la garantía), devoluciones de clientes (pérdida de ventas y ganancias, así como costo de reemplazo) y quejas de clientes (horas de trabajo) en la solución de quejas.</t>
  </si>
  <si>
    <t>Gestión de los costos totales de entrega</t>
  </si>
  <si>
    <t>Averigua por el nivel de gestión de los costos logísticos alcanzados por la empresa para poder optimizarlo sobre una base sofisticada.</t>
  </si>
  <si>
    <t>Se realizan análisis que estiman manualmente los costos logísticos totales de diferentes opciones que normalmente permanecen sin actualizar.
Características:
-Regla de cálculo de costos
-Revisión  poco frecuente de la base de costos
-Cobertura parcial de las posibles fuentes de costo.</t>
  </si>
  <si>
    <t>Hay un enfoque sistémico para el análisis de costos de entregas, utilizando una base de datos de tarifas de transportistas, aduanas, aranceles, tarifas, etc.
Características:
-Hoja de cálculo- Excel
-Base de datos de costos actualizada regularmente.
- Se mantienen al día diferentes versiones de los elementos de costo</t>
  </si>
  <si>
    <t>Entre las respuestas 3 y 5</t>
  </si>
  <si>
    <t>Se calculan de manera  integral y dinámica los costos totales de entrega utilizando datos detallados y altamente precisos de numerosas categorías de costos, incluido el costo del inventario.                      Características:
-Hay un sistema de calculo del costo.
- Tablas de tarifas actualizadas dinámicamente.
-Los gastos incluyen componentes de movimiento tanto nacionales como internacionales.</t>
  </si>
  <si>
    <t>Automatización de procesos logísticos</t>
  </si>
  <si>
    <t>Pregunta por el nivel de avance de la empresa en el proceso de la transformación digital relacionado con la gestión logística.</t>
  </si>
  <si>
    <t>Poco soporte tecnológico para la planificación logística y la ejecución de los procesos. Se confía demasiado en las hojas de cálculo y otras herramientas tecnológicas "improvisadas".
Características:
-Dependencia del agente de carga 
-Los procedimientos se realizan vía   telefónica y fax.
-Las reservas se tramitan caso por caso, no es un proceso repetible.</t>
  </si>
  <si>
    <t>Hay tecnología que resuelve los problemas básico y automatiza las tareas rutinarias de la ejecución logística.
Características:
-Envío de papelería integrado en el flujo de trabajo.
- Horarios de transito al día.</t>
  </si>
  <si>
    <t>El flujo de trabajo esta automatizado, integrado e incluye:
-Envío de documentación automatizada.
-EDI de las transacciones de reserva (oferta / respuesta)
-Compras con tarifas automatizadas.
-Se ha optimizado la planeación de los movimientos internacionales para encontrar el mejor puerto de salida / entrada
-Determinación basada en costo y servicio.</t>
  </si>
  <si>
    <t xml:space="preserve">Qué tan importante es el pronóstico para la planeación logística </t>
  </si>
  <si>
    <t xml:space="preserve">Se trata de conocer la capacidad de la empresa para proyectar la demanda </t>
  </si>
  <si>
    <t>En absoluto No se tiene previsión, aunque a la empresa le gustaría.</t>
  </si>
  <si>
    <t>Crítico, la planeación de producción se basa en el pronóstico, pero este es aún muy variable.</t>
  </si>
  <si>
    <t>Se esperan mejores pronósticos, pero se tiene inventario porque se sabe que sin él no es posible cumplir.</t>
  </si>
  <si>
    <t>El pronóstico es útil pero no crítico, ya que la empresa se impulsa principalmente por la demanda y puede cumplir.</t>
  </si>
  <si>
    <t>Los pronósticos de producción se cumple con un alto nivel de precisión. No se requiere tener inventarios.</t>
  </si>
  <si>
    <t>Cuál es el alcance de la participación del proveedor de bienes y servicios en los eventos Kaizen</t>
  </si>
  <si>
    <t>Pregunta si se ha construido confianza para realizar conjuntamente iniciativas de mejoramiento.</t>
  </si>
  <si>
    <t>No se recibe apoyo alguno</t>
  </si>
  <si>
    <t>Se realizan eventos pero los proveedores no están muy involucrados.</t>
  </si>
  <si>
    <t>Se espera, pero los proveedores no están capacitados ni son capaces (o están muy lejos)</t>
  </si>
  <si>
    <t>Se han tenido algunos eventos con los proveedores.</t>
  </si>
  <si>
    <t>Rutinariamente se involucra a los proveedores.</t>
  </si>
  <si>
    <t>Cómo selecciona los proveedores</t>
  </si>
  <si>
    <t>Indaga acerca de qué tanto se han integrado la empresa y los proveedores de bienes y servicios.</t>
  </si>
  <si>
    <t>Precio</t>
  </si>
  <si>
    <t>Precio, con preferencia por los proveedores existentes.</t>
  </si>
  <si>
    <t>Precio, con la garantía de que la calidad y el tiempo de entrega son aceptables.</t>
  </si>
  <si>
    <t>Precio, calidad, entrega y logística pesan en la decisión.</t>
  </si>
  <si>
    <t>Igual que 4, más la capacidad del proveedor para contribuir a la mejora continua.</t>
  </si>
  <si>
    <t>Nivel de Servicio.
 Pedido perfecto</t>
  </si>
  <si>
    <r>
      <t>Cuál es el nivel de servicio perfecto alcanzado: envíos completos, a tiempo, sin daños y con la documentación completa. Equivalente al</t>
    </r>
    <r>
      <rPr>
        <i/>
        <sz val="12"/>
        <rFont val="Palatino Linotype"/>
        <family val="1"/>
      </rPr>
      <t xml:space="preserve"> Delivered On-Time &amp; In-Full -</t>
    </r>
    <r>
      <rPr>
        <b/>
        <sz val="12"/>
        <rFont val="Palatino Linotype"/>
        <family val="1"/>
      </rPr>
      <t>OTIF</t>
    </r>
    <r>
      <rPr>
        <sz val="12"/>
        <rFont val="Palatino Linotype"/>
        <family val="1"/>
      </rPr>
      <t xml:space="preserve">-.
Promedio nacional 2018 </t>
    </r>
    <r>
      <rPr>
        <b/>
        <sz val="12"/>
        <rFont val="Palatino Linotype"/>
        <family val="1"/>
      </rPr>
      <t>75.4%</t>
    </r>
    <r>
      <rPr>
        <sz val="12"/>
        <rFont val="Palatino Linotype"/>
        <family val="1"/>
      </rPr>
      <t xml:space="preserve"> de los pedidos.</t>
    </r>
  </si>
  <si>
    <t>(Total de envíos completo, a tiempo, sin daños y con la documentación completa) / Total de pedidos.</t>
  </si>
  <si>
    <t>No se mide o 0%-≤50%</t>
  </si>
  <si>
    <t>&gt;50%-≤70%</t>
  </si>
  <si>
    <t>&gt;70%-≤80%</t>
  </si>
  <si>
    <t>&gt; 80% - ≤ 95%</t>
  </si>
  <si>
    <t>&gt;95%-100%</t>
  </si>
  <si>
    <t>Como Medir</t>
  </si>
  <si>
    <t>Costos gestión residuos y vertimientos</t>
  </si>
  <si>
    <t>Costo gestión de resiudos/Ingresos</t>
  </si>
  <si>
    <t>&gt;8%</t>
  </si>
  <si>
    <t>&gt;5% y &lt;8%</t>
  </si>
  <si>
    <t>&lt;5% y &gt;3%</t>
  </si>
  <si>
    <t>&lt;3%</t>
  </si>
  <si>
    <t>Eficiencia de recursos</t>
  </si>
  <si>
    <t>Cuantos desperdicios genera la empresa</t>
  </si>
  <si>
    <t>Desperdicios/Materia Prima</t>
  </si>
  <si>
    <t>&gt;20%</t>
  </si>
  <si>
    <t>&gt;12% y &lt;20%</t>
  </si>
  <si>
    <t>&lt;12% y &gt;5%</t>
  </si>
  <si>
    <t>&lt;5%</t>
  </si>
  <si>
    <t>Compromiso ambiental</t>
  </si>
  <si>
    <t xml:space="preserve">No hay interés en el tema </t>
  </si>
  <si>
    <t>No hay interés en el tema más allá de evitar el desperdicio obvio de recursos: Agua, energía eléctrica, otras fuentes de energía, plástico, principalmente.</t>
  </si>
  <si>
    <t>Hay interés en generar ahorros de recursos, más no hay política ambiental ni metas.</t>
  </si>
  <si>
    <t>Se cuenta con política ambiental y con metas cuantitativas.</t>
  </si>
  <si>
    <t>Se lleva a cabo seguimiento a atributos de sostenibilidad a proveedores y contratistas</t>
  </si>
  <si>
    <t>Movilización de recursos financieros</t>
  </si>
  <si>
    <t>Qué tanto invierte la empresa en el capítulo de sostenibilidad?</t>
  </si>
  <si>
    <t>¿La empresa cuenta con  un presupuesto estratégico para el capítulo de sostenibilidad   ?</t>
  </si>
  <si>
    <t>No hay responsables asignados por el uso de los recursos.
No se asigna presupuesto para las actividades de sostenibilidad.</t>
  </si>
  <si>
    <r>
      <t xml:space="preserve">La responsabilidad por el uso de los recursos es de los individuos.
Hay asignación de presupuesto </t>
    </r>
    <r>
      <rPr>
        <i/>
        <sz val="12"/>
        <rFont val="Palatino Linotype"/>
        <family val="1"/>
      </rPr>
      <t xml:space="preserve">ad hoc </t>
    </r>
    <r>
      <rPr>
        <sz val="12"/>
        <rFont val="Palatino Linotype"/>
        <family val="1"/>
      </rPr>
      <t>(específico por asunto).</t>
    </r>
  </si>
  <si>
    <t>Hay responsabilidad asignada a la gestión de compras/ adquisición y usuarios finales.
La gestión sostenible de los recursos está incluida en el presupuesto.</t>
  </si>
  <si>
    <t>La responsabilidad por la gestión de los recursos es dada a un gerente de alto rango.
Hay presupuestos anuales y personal de apoyo para la sostenibilidad.</t>
  </si>
  <si>
    <t>La Alta Dirección o Equipo Líder participa en la revisión del desempeño sostenible de los recursos y aprueba el presupuesto plurianual.</t>
  </si>
  <si>
    <t>Análisis de la cadena de valor</t>
  </si>
  <si>
    <t xml:space="preserve">¿La empresa tiene una visión amplia del uso de recursos  como parte de la cadena de valor? </t>
  </si>
  <si>
    <t>No se realizan análisis del uso de recursos con respecto al producto o las operaciones.</t>
  </si>
  <si>
    <r>
      <t xml:space="preserve">Algunos análisis </t>
    </r>
    <r>
      <rPr>
        <i/>
        <sz val="12"/>
        <rFont val="Palatino Linotype"/>
        <family val="1"/>
      </rPr>
      <t>ad hoc</t>
    </r>
    <r>
      <rPr>
        <sz val="12"/>
        <rFont val="Palatino Linotype"/>
        <family val="1"/>
      </rPr>
      <t xml:space="preserve"> son realizados por parte de algunos empleados en áreas aisladas.</t>
    </r>
  </si>
  <si>
    <t>Existe un proceso de análisis formal que involucra una amplia gama de funciones dentro de la organización incluyendo producción, operaciones y finanzas.</t>
  </si>
  <si>
    <t>La eficiencia de los recursos es un parámetro de diseño clave a la par con la seguridad y la calidad, incluido en la consideración de todos los nuevos proyectos.</t>
  </si>
  <si>
    <t>La empresa tiene una visión amplia del uso de recursos  como parte de la cadena de valor, mediante la interacción con clientes y proveedores para identificar oportunidades de recirculación</t>
  </si>
  <si>
    <r>
      <t>Ecodiseño y ciclo de vida del producto</t>
    </r>
    <r>
      <rPr>
        <b/>
        <strike/>
        <sz val="12"/>
        <rFont val="Palatino Linotype"/>
        <family val="1"/>
      </rPr>
      <t xml:space="preserve">
</t>
    </r>
  </si>
  <si>
    <t>¿La empresa ha integrado el aspecto de sostenibilidad a sus productos o servicios?</t>
  </si>
  <si>
    <t>El uso de recursos es visto como gastos generales.
Solo se recogen datos sobre su costo.</t>
  </si>
  <si>
    <t>Hay una clara comprensión de las principales demandas  de recursos, basada en datos de consumo en lugar y tiempo.</t>
  </si>
  <si>
    <t>Se evalúa el balance detallado de recursos de los procesos, con base en listas de activos y datos de la huella de recursos.</t>
  </si>
  <si>
    <t xml:space="preserve">Hay reconocimiento de la importancia de la interacción de la empresa con clientes y proveedores para establecer servicios que permitan tener un mejor uso de recursos y/o reducir impactos ambientales   </t>
  </si>
  <si>
    <t>Se ha logrado la Integración del concepto de Ciclo de Vida en el diseño de productos /servicios.</t>
  </si>
  <si>
    <t>Monitoreo y seguimiento</t>
  </si>
  <si>
    <t>¿Se implementan planes de gestión ambiental y se fijan metas?</t>
  </si>
  <si>
    <t>No existe un sistema de gestión ambiental</t>
  </si>
  <si>
    <t>Algunos proyectos de bajo costo son implementados y se presupuestan.</t>
  </si>
  <si>
    <t>Se han implementado algunos proyectos sostenibles y se fijan metas.</t>
  </si>
  <si>
    <t>Los logros de las metas internas  y benchmarks son logrados consistentemente.</t>
  </si>
  <si>
    <t>La empresa alcanza o lidera regularmente los Benchmarks sobre sostenibilidad a nivel internacional.</t>
  </si>
  <si>
    <t>Comunicación</t>
  </si>
  <si>
    <t>¿Se ofrece información sobre el desempeño sostenible de la empresa a los agentes de interés?</t>
  </si>
  <si>
    <t>"Se denomina agentes  de interés al conjunto de partes interesadas y/o afectadas,  directa o indirectamente, por la actividad de una organización.  Dentro de la empresa, las partes interesadas pueden ser los accionistas y empleados, y de manera externa están los proveedores, clientes, socios, inversores y analistas, sindicatos, académicos, ONG, medios de comunicación, competidores, administraciones y la sociedad en conjunto."</t>
  </si>
  <si>
    <t>No se ofrece información sobre el uso de recursos</t>
  </si>
  <si>
    <t>Los informes sobre el uso de recursos circulan entre personal clave.</t>
  </si>
  <si>
    <t>Se capacita a los operarios
Los datos sobre el uso de recursos se incorporan a los informes de operación.
Hay interacción informal con la  cadena de valor - supply chain- sobre su huella.</t>
  </si>
  <si>
    <t>Hay participación regular y formal de los agentes de interés.</t>
  </si>
  <si>
    <t xml:space="preserve">El desempeño de la empresa es publicado anualmente como parte de la gestión de los recursos.
Hay compromiso público regular de cumplimiento de metas. </t>
  </si>
  <si>
    <t>Radar situación actual</t>
  </si>
  <si>
    <t>No.</t>
  </si>
  <si>
    <t>Puntos de control</t>
  </si>
  <si>
    <t>Nivel actual</t>
  </si>
  <si>
    <t>Cal.</t>
  </si>
  <si>
    <t>1.</t>
  </si>
  <si>
    <t>Gestión comercial</t>
  </si>
  <si>
    <t>2.</t>
  </si>
  <si>
    <t>Productividad operacional</t>
  </si>
  <si>
    <t>2.1.</t>
  </si>
  <si>
    <t>Mejoramiento de los procesos</t>
  </si>
  <si>
    <t>2.2.</t>
  </si>
  <si>
    <t>Mantenimiento</t>
  </si>
  <si>
    <t>2.3.</t>
  </si>
  <si>
    <t>Estado de planta y oficinas</t>
  </si>
  <si>
    <t>2.4.</t>
  </si>
  <si>
    <t>Setups - Puesta a punto de los equipos</t>
  </si>
  <si>
    <t>2.6.</t>
  </si>
  <si>
    <t>Aprovisionamiento e inventarios</t>
  </si>
  <si>
    <t>3.</t>
  </si>
  <si>
    <t>4.</t>
  </si>
  <si>
    <t>Eficiencia energética</t>
  </si>
  <si>
    <t>5.</t>
  </si>
  <si>
    <t>Gestión de la calidad</t>
  </si>
  <si>
    <t>6.</t>
  </si>
  <si>
    <t>Desarrollo y sofisticación de producto</t>
  </si>
  <si>
    <t>7.</t>
  </si>
  <si>
    <t>Transformación digital</t>
  </si>
  <si>
    <t>8.</t>
  </si>
  <si>
    <t>Gestión logística</t>
  </si>
  <si>
    <t>9.</t>
  </si>
  <si>
    <t>Sostenibilidad ambiental</t>
  </si>
  <si>
    <t>Punto de control</t>
  </si>
  <si>
    <t>CM</t>
  </si>
  <si>
    <t>%</t>
  </si>
  <si>
    <t>Radar situación Futura</t>
  </si>
  <si>
    <t>Calificación</t>
  </si>
  <si>
    <t>Matriz de la situación de la empresa</t>
  </si>
  <si>
    <t>de mejores prácticas versus Desempeño</t>
  </si>
  <si>
    <t>Nivel de desempeño</t>
  </si>
  <si>
    <t>Nivel de mejores prácticas</t>
  </si>
  <si>
    <t>Indicador de Desempeño</t>
  </si>
  <si>
    <t>Indicador de mejores prácticas</t>
  </si>
  <si>
    <t>Nivel de servicio</t>
  </si>
  <si>
    <t>Vulnerable</t>
  </si>
  <si>
    <t>Calidad de entrega</t>
  </si>
  <si>
    <t>Desempeño</t>
  </si>
  <si>
    <t>Aspirante o</t>
  </si>
  <si>
    <t>Contendora</t>
  </si>
  <si>
    <t>Tiempo de ciclo</t>
  </si>
  <si>
    <t>En transición</t>
  </si>
  <si>
    <t>Tiempo de alistamientos</t>
  </si>
  <si>
    <t>Costos de No Calidad</t>
  </si>
  <si>
    <t>Overall Equipment Effectiveness- OEE</t>
  </si>
  <si>
    <t>Puede</t>
  </si>
  <si>
    <t>Prometedora</t>
  </si>
  <si>
    <t>Capacidad de reducir costos</t>
  </si>
  <si>
    <t>hacerlo mejor</t>
  </si>
  <si>
    <t>I+D+i</t>
  </si>
  <si>
    <t>Total puntos</t>
  </si>
  <si>
    <t>Productividad del capital de trabajo</t>
  </si>
  <si>
    <t>Mejores Prácticas alcanzadas</t>
  </si>
  <si>
    <t>Productividad de los activos</t>
  </si>
  <si>
    <t>Mejores Prácticas</t>
  </si>
  <si>
    <t>EBITDA</t>
  </si>
  <si>
    <t>Desempeño alcanzado</t>
  </si>
  <si>
    <t>Utilidad antes de impuestos</t>
  </si>
  <si>
    <t>Se refiere a la utilidad  antes de impuestos como porcentaje de las ventas del último año fiscal completo.</t>
  </si>
  <si>
    <r>
      <t>Total</t>
    </r>
    <r>
      <rPr>
        <b/>
        <sz val="12"/>
        <rFont val="Palatino Linotype"/>
        <family val="1"/>
      </rPr>
      <t xml:space="preserve"> Sector</t>
    </r>
    <r>
      <rPr>
        <sz val="12"/>
        <rFont val="Palatino Linotype"/>
        <family val="1"/>
      </rPr>
      <t xml:space="preserve"> en %</t>
    </r>
  </si>
  <si>
    <t>Promedio del sector</t>
  </si>
  <si>
    <r>
      <t xml:space="preserve">Beneficio de la </t>
    </r>
    <r>
      <rPr>
        <b/>
        <sz val="12"/>
        <rFont val="Palatino Linotype"/>
        <family val="1"/>
      </rPr>
      <t>empresa</t>
    </r>
    <r>
      <rPr>
        <sz val="12"/>
        <rFont val="Palatino Linotype"/>
        <family val="1"/>
      </rPr>
      <t>:
Utilidad antes de impuestos/Ventas año.</t>
    </r>
  </si>
  <si>
    <t>Promedio de la empresa</t>
  </si>
  <si>
    <t xml:space="preserve">Beneficio antes de impuestos como porcentaje de las ventas del último año </t>
  </si>
  <si>
    <t>Beneficio por debajo del promedio del sector</t>
  </si>
  <si>
    <t>Beneficio igual al promedio del sector</t>
  </si>
  <si>
    <t>Beneficio superior al promedio del sector</t>
  </si>
  <si>
    <t>Líder en Beneficio entre todas las empresas del sector.</t>
  </si>
  <si>
    <t>Se refiere a la tasa de crecimiento de la utilidad en los últimos años.</t>
  </si>
  <si>
    <t>Con base en el desempeño del sector y el resultado de la empresa para cada año, marcar si la tendencia para la empresa está por debajo (decreciente), igual o por encima (creciente) del promedio del sector.</t>
  </si>
  <si>
    <t>TVA =
Sector</t>
  </si>
  <si>
    <t xml:space="preserve">periodo base </t>
  </si>
  <si>
    <t>periodo n</t>
  </si>
  <si>
    <t>n</t>
  </si>
  <si>
    <t>Resultado formula</t>
  </si>
  <si>
    <t>TVA =
Empresa</t>
  </si>
  <si>
    <t>Decreciente</t>
  </si>
  <si>
    <t>Igual</t>
  </si>
  <si>
    <t>Creciente</t>
  </si>
  <si>
    <t>Capacidad de crear valor</t>
  </si>
  <si>
    <t xml:space="preserve">Rentabilidad </t>
  </si>
  <si>
    <r>
      <t xml:space="preserve">Margen de EBITDA </t>
    </r>
    <r>
      <rPr>
        <b/>
        <sz val="12"/>
        <rFont val="Palatino Linotype"/>
        <family val="1"/>
      </rPr>
      <t>Sector</t>
    </r>
    <r>
      <rPr>
        <sz val="12"/>
        <rFont val="Palatino Linotype"/>
        <family val="1"/>
      </rPr>
      <t xml:space="preserve"> = Ebitda/Ventas*100 %</t>
    </r>
  </si>
  <si>
    <t>Promedio Sector para el periodo.</t>
  </si>
  <si>
    <r>
      <t xml:space="preserve">Margen de EBITDA de la </t>
    </r>
    <r>
      <rPr>
        <b/>
        <sz val="12"/>
        <rFont val="Palatino Linotype"/>
        <family val="1"/>
      </rPr>
      <t>empresa</t>
    </r>
    <r>
      <rPr>
        <sz val="12"/>
        <rFont val="Palatino Linotype"/>
        <family val="1"/>
      </rPr>
      <t xml:space="preserve"> = EBITDA/Ventas*100 %</t>
    </r>
  </si>
  <si>
    <t>Margen de EBITDA de la empresa.</t>
  </si>
  <si>
    <t>Rentabilidad abajo del promedio del sector</t>
  </si>
  <si>
    <t>Rentabilidad promedio del sector</t>
  </si>
  <si>
    <t>Rentabilidad superior al promedio del sector</t>
  </si>
  <si>
    <t>Líder en rentabilidad</t>
  </si>
  <si>
    <t>Una mayor rotación  de los activos contribuye a incrementar la rentabilidad de la empresa.
Productividad de los Activos = Ventas/Activos totales del periodo (Año).</t>
  </si>
  <si>
    <r>
      <t xml:space="preserve">Total Productividad de los activos del </t>
    </r>
    <r>
      <rPr>
        <b/>
        <sz val="12"/>
        <rFont val="Palatino Linotype"/>
        <family val="1"/>
      </rPr>
      <t>sector</t>
    </r>
  </si>
  <si>
    <t>Productividad promedio de los activos del Sector</t>
  </si>
  <si>
    <r>
      <t xml:space="preserve">Productividad de los activos de la </t>
    </r>
    <r>
      <rPr>
        <b/>
        <sz val="12"/>
        <rFont val="Palatino Linotype"/>
        <family val="1"/>
      </rPr>
      <t>empresa</t>
    </r>
  </si>
  <si>
    <t>Productividad de los activos de la empresa vs el sector.</t>
  </si>
  <si>
    <t>Están por debajo del promedio del sector</t>
  </si>
  <si>
    <t>Igual al promedio del sector</t>
  </si>
  <si>
    <t>Es superior al promedio del sector</t>
  </si>
  <si>
    <t>Cantidad de recursos atrapados por cada COP 1.0 vendido
Nota: Para facilitar el cálculo sólo se consideran como capital de trabajo el total de inventarios más las cuentas por cobrar</t>
  </si>
  <si>
    <t>Capital de trabajo = (Cuentas por Cobrar + Inventarios) / Ventas</t>
  </si>
  <si>
    <t>Más del 45%</t>
  </si>
  <si>
    <t>&gt; 30  - ≤  45%</t>
  </si>
  <si>
    <t>&gt; 15 - ≤  30%</t>
  </si>
  <si>
    <t>&gt; 7  y  ≤  15%</t>
  </si>
  <si>
    <t>Menor al 7%</t>
  </si>
  <si>
    <t>Revisión de Estados Financieros</t>
  </si>
  <si>
    <t>Balance general y Estado de Resultados</t>
  </si>
  <si>
    <t>No se realiza</t>
  </si>
  <si>
    <t xml:space="preserve">Anual </t>
  </si>
  <si>
    <t>Flujo de Caja</t>
  </si>
  <si>
    <t xml:space="preserve">Cuentas por cobrar. </t>
  </si>
  <si>
    <t>NOTA: El presente archivo debe diligenciarse a computador por cada línea de intervención seleccionada. Favor cargar el archivo en Excel en la biblioteca virtual, una vez finalizado el proceso de intervención con todas las plantillas diligenciadas y compiladas (extensionista + gestor). Todos los campos son de obligatorio diligenciamiento</t>
  </si>
  <si>
    <t xml:space="preserve">LOGO </t>
  </si>
  <si>
    <t>ALIADO</t>
  </si>
  <si>
    <t>VISITA INICIAL - DIAGNÓSTICO Y SELECCIÓN DE EXTENSIONISTA  - CICLO  3</t>
  </si>
  <si>
    <t>FSI-01</t>
  </si>
  <si>
    <t>Versión 1: 08/06/2020</t>
  </si>
  <si>
    <t>1. INFORMACIÓN GENERAL</t>
  </si>
  <si>
    <t>Objetivo: Adicional a la verificación y recolección de la información de caracterización de la empresa, el Gestor Local debe presentar al empresario el alcance y objetivos del Programa, así como los términos y condiciones.  Una vez aplicado el diagnóstico, debe explicar los resultados que arrojó la herramienta y registrar dicha sustentación en el presente formato, a efectos de definir con el empresario la línea de intervención que implementará la Empresa, y a partir de ello designar el Líder del Proyecto. Por último, posterior a la presentación de minimo (3) tres cotizaciones al empresario, se indica el Extesnionistas seleccionado. Se deberá diligenciar un formato independiente por línea de intervención y extensionista.</t>
  </si>
  <si>
    <t>Nombre / Razón Social:</t>
  </si>
  <si>
    <t>NIT:</t>
  </si>
  <si>
    <t>Rango de la Empresa:</t>
  </si>
  <si>
    <t>No. de Empleados</t>
  </si>
  <si>
    <t>Dirección de la empresa/Ciudad/ Departamento:</t>
  </si>
  <si>
    <t xml:space="preserve">CARRERA # CALLE - </t>
  </si>
  <si>
    <t xml:space="preserve">Ciudad / Municipio: </t>
  </si>
  <si>
    <t>Actividad Seleccionado para intervención  (Código CIIU según RUES)</t>
  </si>
  <si>
    <t>Teléfono:</t>
  </si>
  <si>
    <t>Nombre del Gestor:</t>
  </si>
  <si>
    <t>ZYX</t>
  </si>
  <si>
    <t>Teléfono Gestor :</t>
  </si>
  <si>
    <t>2. ASISTENTES DE LA EMPRESA</t>
  </si>
  <si>
    <t>Registre los funcionarios de la empresa con quienes se realiza la reunión.  Marque con una X la reunión a la que asistió 1) Primera Visita y 2) Presentación resultados  Diagnóstico 3)Selección y presentación de extensionista</t>
  </si>
  <si>
    <t>Nombre</t>
  </si>
  <si>
    <t>Cargo</t>
  </si>
  <si>
    <t xml:space="preserve">Teléfono </t>
  </si>
  <si>
    <t>X</t>
  </si>
  <si>
    <t>3.  PRIMERA VISITA Y DIAGNOSTICO EMPRESARIAL DE PRODUCTIVIDAD</t>
  </si>
  <si>
    <r>
      <t xml:space="preserve">A partir de los resultados del Diagnóstico Empresarial, liste los principales </t>
    </r>
    <r>
      <rPr>
        <b/>
        <u/>
        <sz val="14"/>
        <color theme="0"/>
        <rFont val="Calibri"/>
        <family val="2"/>
        <scheme val="minor"/>
      </rPr>
      <t>hallazgos</t>
    </r>
    <r>
      <rPr>
        <b/>
        <sz val="14"/>
        <color theme="0"/>
        <rFont val="Calibri"/>
        <family val="2"/>
        <scheme val="minor"/>
      </rPr>
      <t xml:space="preserve"> que evidencia en la empresa. Por favor detalle los puntos criticos.</t>
    </r>
  </si>
  <si>
    <r>
      <t xml:space="preserve">Principales problemas encontrados en la empresa; </t>
    </r>
    <r>
      <rPr>
        <b/>
        <u/>
        <sz val="16"/>
        <color theme="1"/>
        <rFont val="Calibri"/>
        <family val="2"/>
        <scheme val="minor"/>
      </rPr>
      <t xml:space="preserve">puntos de control críticos </t>
    </r>
    <r>
      <rPr>
        <b/>
        <sz val="16"/>
        <color theme="1"/>
        <rFont val="Calibri"/>
        <family val="2"/>
        <scheme val="minor"/>
      </rPr>
      <t xml:space="preserve">extraídos del diagnóstico. </t>
    </r>
  </si>
  <si>
    <t xml:space="preserve">1.           </t>
  </si>
  <si>
    <t>3.1 RESULTADOS DEL DIAGNÓSTICO</t>
  </si>
  <si>
    <t>(1) Fecha de visita / reunión inicial</t>
  </si>
  <si>
    <t>Fecha de Realización del Diagnóstico Empresarial de Productividad</t>
  </si>
  <si>
    <t>Se realizo recorrido a la planta / empresa (Diligencie marcando X)</t>
  </si>
  <si>
    <t>SI</t>
  </si>
  <si>
    <t>NO</t>
  </si>
  <si>
    <t>(2) Fecha de Presentación de Resultados Diagnóstico Empresarial de  Productividad</t>
  </si>
  <si>
    <t>Línea de Intervención critica</t>
  </si>
  <si>
    <t>Resultado Diagnóstico:</t>
  </si>
  <si>
    <r>
      <t xml:space="preserve">Línea de Intervención seleccionada: 
</t>
    </r>
    <r>
      <rPr>
        <sz val="12"/>
        <color theme="1"/>
        <rFont val="Calibri"/>
        <family val="2"/>
        <scheme val="minor"/>
      </rPr>
      <t>Nota: Tenga en cuenta que cada intervención debe garantizar el mejoramiento de al menos uno de los dos indicadores fijos establecidos por línea, en mínimo un 8%.</t>
    </r>
  </si>
  <si>
    <t>Seleccione de la lista desplegable la línea de intervención, en caso de que la empresa quiera implementar dos líneas de intervención, diligencie un nuevo archivo para la segunda línea</t>
  </si>
  <si>
    <t>Justificación selección de la Línea de Intervención:</t>
  </si>
  <si>
    <t>4. DESIGNACIÓN LIDER DEL PROYECTO</t>
  </si>
  <si>
    <t>Nombre del Líder del proyecto designado:</t>
  </si>
  <si>
    <t>Celular:</t>
  </si>
  <si>
    <t>Correo electrónico:</t>
  </si>
  <si>
    <t>Firma (A)</t>
  </si>
  <si>
    <t>5. EXTENSIONISTA SELECCIONADO</t>
  </si>
  <si>
    <t xml:space="preserve">Indicar cual extensionista fue seleccionado </t>
  </si>
  <si>
    <t>Nombre y/o Razón Social del Extensionista SELECCIONADO:</t>
  </si>
  <si>
    <t>NIT</t>
  </si>
  <si>
    <t>Naturaleza Jurídica:</t>
  </si>
  <si>
    <t>Sustentación de la selección:</t>
  </si>
  <si>
    <t xml:space="preserve">1. Experiencia </t>
  </si>
  <si>
    <t>Seleccione de la lista desplegable</t>
  </si>
  <si>
    <t>(3) Fecha de selección de extensionista:</t>
  </si>
  <si>
    <t>6. FIRMA</t>
  </si>
  <si>
    <t xml:space="preserve">Nombre: </t>
  </si>
  <si>
    <t>Nombre:</t>
  </si>
  <si>
    <r>
      <t xml:space="preserve">Representante Legal de la Empresa </t>
    </r>
    <r>
      <rPr>
        <b/>
        <sz val="8"/>
        <color theme="1"/>
        <rFont val="Calibri"/>
        <family val="2"/>
        <scheme val="minor"/>
      </rPr>
      <t>(A)</t>
    </r>
  </si>
  <si>
    <r>
      <t xml:space="preserve">Gestor Local </t>
    </r>
    <r>
      <rPr>
        <b/>
        <sz val="8"/>
        <color theme="1"/>
        <rFont val="Calibri"/>
        <family val="2"/>
        <scheme val="minor"/>
      </rPr>
      <t>(B)</t>
    </r>
  </si>
  <si>
    <t>Nota A: Los firmantes autorizamos a la Cámara de Comercio de [incluir nombre Cámara de Comercio] a tratar nuestros datos personales, incluyendo su recolección, almacenamiento, uso, circulación o supresión, de acuerdo con la finalidad y ejecución de las actividades propias del programa Fábricas de Productividad que se está ejecutando, y en general, cumplir con el tratamiento de datos personales dentro de los parámetros establecidos en la Constitución y la Ley; así como a transferir mis datos personales a Colombia Productiva quienes podrán dar uso y  tratamiento de datos personales, en los mismos términos de la presente autorización y compartir con terceros la información con fines gremiales, técnicos, científicos, estadísticos, contractuales o comerciales, en cumplimiento del objeto de Colombia Productiva. Así mismo, estos terceros también podrán compartir la información con fines de política pública.  De igual forma, autorizamos a la Cámara de Comercio de [incluir nombre Cámara de Comercio] a implementar el mismo tratamiento y con la misma finalidad indicada con anterioridad a mi información sensible, entendida esta como aquella que pueda afectar mi intimidad o puede llegar a generar algún tipo de discriminación, la cual tengo derecho a no contestar.  Mis derechos como titular de los datos, es decir, de conocer, actualizar, rectificar o suprimir frente a los responsables o encargados del tratamiento de los datos y la información sensible son los previstos en la Constitución Política y en la Ley 1581 de 2012. Estos derechos los podré ejercer a través de los canales o medios dispuestos por la Cámara de Comercio de [incluir nombre Cámara de Comercio], [incluir como mínimo la dirección física o electrónica y el teléfono del responsable del tratamiento, así como los demás canales disponibles para que el titular ejerza sus derechos]. Por último, autorizamos la utilización de nuestra imagen en fotografías, videos y audios, los cuales podrán ser utilizados en formato o soporte material en ediciones impresas o audiovisuales y se extiende a la utilización en medio electrónico, óptico, magnético, redes (internet e intranet), mensajes de datos o similares y en general para cualquier medio o soporte conocido o por conocer en el futuro.</t>
  </si>
  <si>
    <t>Favor ajustar el texto de acuerdo con las políticas de la Cámara de Comercio</t>
  </si>
  <si>
    <r>
      <rPr>
        <b/>
        <sz val="9"/>
        <color theme="1"/>
        <rFont val="Calibri"/>
        <family val="2"/>
        <scheme val="minor"/>
      </rPr>
      <t>Nota B:</t>
    </r>
    <r>
      <rPr>
        <sz val="9"/>
        <color theme="1"/>
        <rFont val="Calibri"/>
        <family val="2"/>
        <scheme val="minor"/>
      </rPr>
      <t xml:space="preserve">  He verificado que las propuestas presentadas por los extensionistas cumplen con el objeto y alcance de la linea de intervención seleccionada en el marco del Programa Fábricas de Productividad.</t>
    </r>
  </si>
  <si>
    <t>NOTA: El presente archivo debe diligenciarse a computador por cada línea de intervención seleccionada. Favor cargar el archivo en Excel en la biblioteca virtual, una vez finalizado el proceso de intervención con todas las plantillas diligenciadas y compiladas (extensionista + gestor)</t>
  </si>
  <si>
    <t>COTIZACION</t>
  </si>
  <si>
    <t>En este formato se debe presentar el detalle de la propuesta presentada por cada extensionista previamente preseleccionado, validado por el Gestor Local en cuanto a objetivo, enfoque, alcance y metodología. En caso en el cual la propuesta no esté en línea con el objeto y lineamientos de operación del Programa, deberá solicitar su ajuste al extensionista. Este formato se diligencia por  línea de intervención y por cotización.</t>
  </si>
  <si>
    <t>Ciudad:</t>
  </si>
  <si>
    <t>Línea de Intervención:</t>
  </si>
  <si>
    <t xml:space="preserve">2. DATOS DEL EXTENSIONISTA </t>
  </si>
  <si>
    <t>Fecha de presentación de la propuesta al empresario:</t>
  </si>
  <si>
    <t>Cédula / NIT:</t>
  </si>
  <si>
    <t xml:space="preserve">Ciudad de domicilio: </t>
  </si>
  <si>
    <t>Nombre y/o Razón Social del Extensionista:</t>
  </si>
  <si>
    <t>Años de experiencia / de existencia:</t>
  </si>
  <si>
    <t>Líneas de Intervención que desarrolla:</t>
  </si>
  <si>
    <t>3. ALCANCE DE LA INTERVENCIÓN</t>
  </si>
  <si>
    <t>Número de horas propuestas para ejecutar el proyecto:</t>
  </si>
  <si>
    <t>Total Costo Intervención</t>
  </si>
  <si>
    <t>Valor Hora de Intervención (SIN IVA - para no responsables de IVA)</t>
  </si>
  <si>
    <t>Valor Hora de Intervención (IVA incluido)</t>
  </si>
  <si>
    <r>
      <t xml:space="preserve">Metodología propuesta:
</t>
    </r>
    <r>
      <rPr>
        <sz val="16"/>
        <color theme="1"/>
        <rFont val="Calibri"/>
        <family val="2"/>
        <scheme val="minor"/>
      </rPr>
      <t>(Describa la metodología, incluyendo las herramientas para desarrollar el proyecto)</t>
    </r>
  </si>
  <si>
    <t>Acciones propuestas a ejecutar:</t>
  </si>
  <si>
    <r>
      <t>Observaciones:
(</t>
    </r>
    <r>
      <rPr>
        <sz val="16"/>
        <color theme="1"/>
        <rFont val="Calibri"/>
        <family val="2"/>
        <scheme val="minor"/>
      </rPr>
      <t xml:space="preserve">Comentarios adicionales </t>
    </r>
    <r>
      <rPr>
        <b/>
        <sz val="16"/>
        <color theme="1"/>
        <rFont val="Calibri"/>
        <family val="2"/>
        <scheme val="minor"/>
      </rPr>
      <t>)</t>
    </r>
  </si>
  <si>
    <t>*Puede anexar los documentos adicionales de la propuesta presentadas por el consultor.</t>
  </si>
  <si>
    <t>4. FIRMA</t>
  </si>
  <si>
    <r>
      <t>Gestor Local</t>
    </r>
    <r>
      <rPr>
        <b/>
        <sz val="8"/>
        <color theme="1"/>
        <rFont val="Calibri"/>
        <family val="2"/>
        <scheme val="minor"/>
      </rPr>
      <t>(1)</t>
    </r>
  </si>
  <si>
    <r>
      <rPr>
        <b/>
        <sz val="9"/>
        <color theme="1"/>
        <rFont val="Calibri"/>
        <family val="2"/>
        <scheme val="minor"/>
      </rPr>
      <t>(1):</t>
    </r>
    <r>
      <rPr>
        <sz val="9"/>
        <color theme="1"/>
        <rFont val="Calibri"/>
        <family val="2"/>
        <scheme val="minor"/>
      </rPr>
      <t xml:space="preserve">  He verificado que las propuestas presentadas por los extensionistas cumplen con el objeto y alcance de la línea de intervención seleccionada en el marco del Programa Fábricas de Productividad acorde con las necesidades identificadas en el Diagnóstico Empresarial de Productividad</t>
    </r>
  </si>
  <si>
    <t>PLAN DE TRABAJO - CICLO 3</t>
  </si>
  <si>
    <t>FSI-02</t>
  </si>
  <si>
    <t>Objetivo: Una vez el extensionista haya realizado y analizado el Diagnóstico Específico de la empresa, éste deberá presentar sus principales hallazgos y proponer un plan de trabajo para intervenir las necesidades evidenciadas en esta Línea. Este formato se diligencia por Línea de Intervención seleccionada. En este formato debe  diligenciarse el Plan de Trabajo Final aprobado especifico a las brechas identificadas en esta empresa</t>
  </si>
  <si>
    <t>Fecha inicio intervención:</t>
  </si>
  <si>
    <t>Fecha Fin Intervención:</t>
  </si>
  <si>
    <t>Nombre y/o razón social del Extensionista:</t>
  </si>
  <si>
    <t>YZ</t>
  </si>
  <si>
    <t>Telefono Extensionista Persona Natural y/o juridica</t>
  </si>
  <si>
    <t>Nombre del Consultor:</t>
  </si>
  <si>
    <t>AB</t>
  </si>
  <si>
    <t>Telefóno del Consultor:</t>
  </si>
  <si>
    <t>Total horas de Intervención:</t>
  </si>
  <si>
    <t>Rango Empresa</t>
  </si>
  <si>
    <t>Valor Total de la Intervención</t>
  </si>
  <si>
    <t>Registrar a los funcionarios de la empresa con quienes se realiza la reunión. Agregue tantas filas como sean necesarias</t>
  </si>
  <si>
    <t>3.  HALLAZGOS Y OPORTUNIDADES DE MEJORA</t>
  </si>
  <si>
    <r>
      <t xml:space="preserve">Liste los principales </t>
    </r>
    <r>
      <rPr>
        <b/>
        <u/>
        <sz val="16"/>
        <color theme="0"/>
        <rFont val="Calibri"/>
        <family val="2"/>
        <scheme val="minor"/>
      </rPr>
      <t xml:space="preserve">hallazgos y problemáticas encontradas </t>
    </r>
    <r>
      <rPr>
        <b/>
        <sz val="16"/>
        <color theme="0"/>
        <rFont val="Calibri"/>
        <family val="2"/>
        <scheme val="minor"/>
      </rPr>
      <t xml:space="preserve"> en relación con la linea de intervención seleccionada. Mencione las oportunidades de mejora que identificó en la empresa. Por favor sea específico e incluya tantos espacios como sean necesarios</t>
    </r>
  </si>
  <si>
    <t>HALLAZGOS</t>
  </si>
  <si>
    <t>OPORTUNIDADES DE MEJORA</t>
  </si>
  <si>
    <t xml:space="preserve">Objetivo de la intervención (Describa ampliamente el objeto de la intervención): </t>
  </si>
  <si>
    <t>Definir la estrategia de TD e implementar una de sus iniciativas estrategicas (ChatBot: Canal de comunicación automatizado de cara al cliente)</t>
  </si>
  <si>
    <t>Área(s) o proceso(s) (Describa la problemática en el proceso:</t>
  </si>
  <si>
    <t xml:space="preserve">Proceso de Soporte al cliente: De acuerdo con la estrategia de Transformación Digital y el mapa de experiencia del cliente se identifica una oportunidad de mejora en el proceso de soporte de la empresa. El cliente cuando solicita un soporte por vía telefónica dura alrededor de 45 minutos en la llamada y es el proceso en el cual su satisfacción es del 23% </t>
  </si>
  <si>
    <t>Línea, producto y/o servicio de la empresa donde se va a implementar la mejora:</t>
  </si>
  <si>
    <t>Apoyo transversal</t>
  </si>
  <si>
    <t>Metodología: Indique cuál va a ser la metodologia a utilizar (KAIZEN, 5´s, otra):</t>
  </si>
  <si>
    <t>SCRUM</t>
  </si>
  <si>
    <t>4. CRONOGRAMA DE EJECUCIÓN</t>
  </si>
  <si>
    <r>
      <rPr>
        <b/>
        <u/>
        <sz val="16"/>
        <color theme="0"/>
        <rFont val="Calibri"/>
        <family val="2"/>
        <scheme val="minor"/>
      </rPr>
      <t>Detalle</t>
    </r>
    <r>
      <rPr>
        <b/>
        <sz val="16"/>
        <color theme="0"/>
        <rFont val="Calibri"/>
        <family val="2"/>
        <scheme val="minor"/>
      </rPr>
      <t xml:space="preserve"> las acciones/actividades que componen su plan de trabajo; para cada actividad defina el porcentaje que representa del total de la intervención y su duración estimada en horas. Así mismo, incluya las fechas estimadas de las visitas necesarias para realizar dicha intervención (teniendo en cuenta un máximo de 8 horas por día), verificando que guarde relación con las fechas de inicio y finalización de la intervención (actualice los meses en la tabla acorde con estas fechas)</t>
    </r>
  </si>
  <si>
    <t>Plan de Trabajo 
(Detalle las acciones que realizará)</t>
  </si>
  <si>
    <t>Porcentaje representativo</t>
  </si>
  <si>
    <t>Duración estimada en horas</t>
  </si>
  <si>
    <t>Mes 1</t>
  </si>
  <si>
    <t>Mes 2</t>
  </si>
  <si>
    <t>Mes 3</t>
  </si>
  <si>
    <t>Mes 4</t>
  </si>
  <si>
    <t>Mes 5</t>
  </si>
  <si>
    <t>Mes 6</t>
  </si>
  <si>
    <t>Julio</t>
  </si>
  <si>
    <t>Agosto</t>
  </si>
  <si>
    <t>Septiembre</t>
  </si>
  <si>
    <t>Octubre</t>
  </si>
  <si>
    <t xml:space="preserve">Noviembre </t>
  </si>
  <si>
    <t>Diciembre</t>
  </si>
  <si>
    <t>Actualizar de acuerdo con el cronograma planteado. Pueden establecerse fechas específicas o semanas.</t>
  </si>
  <si>
    <t xml:space="preserve"> Elaboración de herramienta informática de información en línea de la trazabilidad y seguimiento de la producción que permita medir continuamente los indicadores de tiempo de ciclo, productividad por puesto de trabajo y eficiencia por operador.</t>
  </si>
  <si>
    <t>30/07/2020</t>
  </si>
  <si>
    <t>20/08/2020</t>
  </si>
  <si>
    <t>25/08/2020</t>
  </si>
  <si>
    <t xml:space="preserve"> Establecer estrategias de aprovechamiento de los tiempos subutilizados por los operarios en las máquinas de Inyección (23%), con operaciones de manualidad. Seguimiento a través de la herramienta de información en línea. </t>
  </si>
  <si>
    <t xml:space="preserve"> Aplicar estrategias que permita organización, limpieza y disciplina en los puestos de trabajo, mediante la herramienta cinco eses en la planta productiva.</t>
  </si>
  <si>
    <t>20/10/2020</t>
  </si>
  <si>
    <t>25/10/2020</t>
  </si>
  <si>
    <t xml:space="preserve"> Independizar la bodega de producto terminado del proceso de producción, apoyándose en el cargo de Coordinador de bodega y despachos, elaboración del documento procedimiento de entradas y salidas de Bodega. </t>
  </si>
  <si>
    <t>27/10/2020</t>
  </si>
  <si>
    <t>No elimine espacios en caso de no requerirlos</t>
  </si>
  <si>
    <t>5 INDICADORES</t>
  </si>
  <si>
    <r>
      <t xml:space="preserve">Liste los cinco indicadores </t>
    </r>
    <r>
      <rPr>
        <b/>
        <u/>
        <sz val="16"/>
        <color theme="0"/>
        <rFont val="Calibri"/>
        <family val="2"/>
        <scheme val="minor"/>
      </rPr>
      <t>obligatorios</t>
    </r>
    <r>
      <rPr>
        <b/>
        <sz val="16"/>
        <color theme="0"/>
        <rFont val="Calibri"/>
        <family val="2"/>
        <scheme val="minor"/>
      </rPr>
      <t xml:space="preserve"> que la empresa trabajará; en las primeras dos casillas registre los dos indicadores fijos y luego los tres de libre elección. Por favor sustente la elección de los tres indicadores elegidos libremente.  Tener en cuenta el tipo de indicador, unidad de medida y fórmula.</t>
    </r>
  </si>
  <si>
    <t>Nombre del indicador</t>
  </si>
  <si>
    <t xml:space="preserve">Definición </t>
  </si>
  <si>
    <t>Fórmula</t>
  </si>
  <si>
    <t>Cálculo de la medición (Indique el valor de las variables utilizadas: numerador / denominador)</t>
  </si>
  <si>
    <r>
      <t xml:space="preserve">Línea base*
</t>
    </r>
    <r>
      <rPr>
        <b/>
        <sz val="11"/>
        <color theme="1"/>
        <rFont val="Calibri"/>
        <family val="2"/>
        <scheme val="minor"/>
      </rPr>
      <t xml:space="preserve"> (Resultado)</t>
    </r>
  </si>
  <si>
    <t>Unidad de Medida</t>
  </si>
  <si>
    <t>Periodo al que corresponde la medición 
(día semana, trimestre Indique el periodo TANTO para el NUMERADOR como para el DENOMINADOR)</t>
  </si>
  <si>
    <t>Meta propuesta (Resultado al cual se espera llegar de acuerdo al contexto empresarial)</t>
  </si>
  <si>
    <t>45 Minutos Tiempo medio de llamadas soporte (call center)
45 Minutos *</t>
  </si>
  <si>
    <t>45 minutos</t>
  </si>
  <si>
    <t>Minutos</t>
  </si>
  <si>
    <t>Los 45 minutos correponden al tiemplo empleado (TE) en el proceso, es el promedio de los meses de marzo y abril de 2019</t>
  </si>
  <si>
    <t>8 Horas coordinador (8*23900)+ 3 agentes x 8 Horas X costo unitario del valor hora (8700)</t>
  </si>
  <si>
    <t xml:space="preserve">Pesos </t>
  </si>
  <si>
    <t>El CTH es el promedio del mes de enero</t>
  </si>
  <si>
    <t>En las líneas de Transformación Digital,  Desarrollo y Sofisticación de producto y Eficiencia Energética, recuerde que puede utilizar un indicador adicional  al segundo indicador establecido, el cual se refleja en la casilla 3. Solo para el caso de Eficiencia Energética se debe medir ahorro económico y (CEA) 1 o (CEA)2.</t>
  </si>
  <si>
    <t>Venta: 5 días
Soporte: 2 días
y Logística: 1 días</t>
  </si>
  <si>
    <t>Días</t>
  </si>
  <si>
    <t>EL Tiempo máximo de recuperación es el tiempo máximo que ha ocurrido de acuerdo al histórico de un evento de riesgo en el año 2019</t>
  </si>
  <si>
    <t>Tasa de Ventas</t>
  </si>
  <si>
    <t>Eficacia de los canales de ventas y equipos de ventas 
cuando llega un nuevo contacto a través de Internet, debería haber un seguimiento hasta completarse la venta por parte del comercial. 
Un cliente potencial es cualquier persona natural/jurídica que contactó la empresa para informarse sobre los productos o servicios que ofrece</t>
  </si>
  <si>
    <t>TV = (CP /CV)*100</t>
  </si>
  <si>
    <t>Clientes potenciales : 50
Ventas: $1,000,000
= 0,005%</t>
  </si>
  <si>
    <t>Porcentaje</t>
  </si>
  <si>
    <t xml:space="preserve">Periodo Nominador: 
Promedio dic-2020 y ene-2021
Periodo Denominador:
Enero 2021
</t>
  </si>
  <si>
    <t>Recuerde que para aquellos indicadores, resultado de un cálculo debe describir los periodos al que corresponde cada una de las variables</t>
  </si>
  <si>
    <t>5.1 OBSERVACIONES INDICADORES</t>
  </si>
  <si>
    <t>Favor incluir las aclaraciones y/o sustentación técnica sobre los indicadores y sus mediciones (por ejemplo, sustentación del período de medición de la línea base en el indicador de variación en ventas).</t>
  </si>
  <si>
    <t>Este documento debe ser firmado por la Empresa y el Extensionista y visto bueno del Gestor Local</t>
  </si>
  <si>
    <t>Representante Legal de la Empresa/Lider de Proyecto</t>
  </si>
  <si>
    <t>Extensionista</t>
  </si>
  <si>
    <t>Fecha de Aprobación por Gestor Local:</t>
  </si>
  <si>
    <t>* Con mi firma valido el adecuado contenido y diligenciamiento del Plan de Trabajo Propuesto por el Extensionista y aprobado por el Empresario</t>
  </si>
  <si>
    <t>NOTA: El presente archivo debe diligenciarse a computador por cada línea de intervención seleccionada. Favor cargar el archivo en Excel en la biblioteca virtual, una vez finalizado el proceso de intervención con todas las plantillas diligenciadas y compiladas (extensionista + gestor)
ESTE FORMATO SE DILIGENCIA CON CORTE 30 DE CADA MES</t>
  </si>
  <si>
    <t>REPORTE MENSUAL DE AVANCE ASISTÉNCIA TÉCNICA  - CICLO # 3</t>
  </si>
  <si>
    <t>FSI-03</t>
  </si>
  <si>
    <t>Objetivo: En este formato se relacionan las visitas de asistencia téncia especializada desarrolladas por el Extensionistas, consolidadas por mes calendario, con el fin de registrar los avances y resultados al cierre de cada mes. Este formato se diligencia por Línea de Intervención seleccionada y extensionista</t>
  </si>
  <si>
    <t>Nombre / Razón Social Empresa:</t>
  </si>
  <si>
    <t>Linea de Intervencion:</t>
  </si>
  <si>
    <t>Total horas intervención:</t>
  </si>
  <si>
    <t>Fecha Inicio / Fin Intervención:</t>
  </si>
  <si>
    <t>Mes del Reporte:</t>
  </si>
  <si>
    <t>Febrero</t>
  </si>
  <si>
    <t>Total horas impartidas ACUMULADAS
 ( al cierre de mes):</t>
  </si>
  <si>
    <t xml:space="preserve"> % de Avance Consolidado:</t>
  </si>
  <si>
    <t>2.  SEGUIMIENTO A LOS INDICADORES</t>
  </si>
  <si>
    <t>Objetivo: Indique el resultado de la medición de la linea base o medición intermedia de cada indicador, con la cual se contratastá la medición de salida y así evaluar su porcentaje de variación, mantenga la última medición en los siguientes informes de seguimiento. Recuerde que deberá incluir la línea base para los 5 indicadores en el Informe Final</t>
  </si>
  <si>
    <t>Indicador Establecido</t>
  </si>
  <si>
    <r>
      <t>Cálculo utilizado en la linea base</t>
    </r>
    <r>
      <rPr>
        <b/>
        <sz val="12"/>
        <rFont val="Calibri"/>
        <family val="2"/>
        <scheme val="minor"/>
      </rPr>
      <t xml:space="preserve"> 
</t>
    </r>
    <r>
      <rPr>
        <b/>
        <sz val="11"/>
        <rFont val="Calibri"/>
        <family val="2"/>
        <scheme val="minor"/>
      </rPr>
      <t>(indicar variables: numerador/denominador)</t>
    </r>
  </si>
  <si>
    <t>Tipo de Medición</t>
  </si>
  <si>
    <t>Naturaleza del indicador</t>
  </si>
  <si>
    <t>Fórmula utilizada Medición 2</t>
  </si>
  <si>
    <t>Resultado</t>
  </si>
  <si>
    <r>
      <t xml:space="preserve">Informacion sobre la medición
</t>
    </r>
    <r>
      <rPr>
        <b/>
        <sz val="12"/>
        <rFont val="Calibri"/>
        <family val="2"/>
        <scheme val="minor"/>
      </rPr>
      <t>(Sea especifico: nombre la variables)</t>
    </r>
  </si>
  <si>
    <t>Intermedia</t>
  </si>
  <si>
    <t>Disminucion</t>
  </si>
  <si>
    <t>Promedio mes de febrero en el proceso</t>
  </si>
  <si>
    <t>20 Minutos</t>
  </si>
  <si>
    <t>Dada la implementación del ChatBot se evidencia que hay resistencia al cambio por parte de los clientes y adicionalmente muchos de estos no saben que pueden solicitar soporte a través del chatBot. Sin embargo, se evidencia una reducción del 10% en las llamadas y el tiempo de soporte por parte del cliente se redujo. promedio de soporte 20 minutos</t>
  </si>
  <si>
    <t>Dada la implementación del ChatBot se evidencia que hay resistencia al cambio por parte de los clientes y adicionalmente muchos de estos no saben que pueden solicitar soporte a través del chatBot. Sin embargo, se evidencia una reducción del 10% en las llamadas y el tiempo de soporte por parte del cliente se redujo. promedio de soporte 30 minutos</t>
  </si>
  <si>
    <t>Venta: 5 días
Soporte: 2 días
y Logistica: 1 días</t>
  </si>
  <si>
    <t xml:space="preserve">El chatbot se actualiza para realizar procesos de venta y para dar información logística sobre el producto comprado. Se generó estrategia con la empresa de envío y se generó una bodega virtual con un stock como acción de continuidad en caso de materializarse un evento que afecte los procesos  y con el fin de reducir los tiempos de despacho del producto. Adicionalmente se selecciona e instala software que habilita el trabajo remoto. </t>
  </si>
  <si>
    <t xml:space="preserve">3. PLANILLA MENSUAL DE SEGUIMIENTO A LA IMPLEMENTACIÓN </t>
  </si>
  <si>
    <r>
      <t xml:space="preserve">Objetivo: Indique de acuerdo con el Plan de Trabajo establecido, las acciones desarrolladas, las horas de acompañamiento efectivo a </t>
    </r>
    <r>
      <rPr>
        <b/>
        <u/>
        <sz val="14"/>
        <color theme="0" tint="-4.9989318521683403E-2"/>
        <rFont val="Calibri"/>
        <family val="2"/>
        <scheme val="minor"/>
      </rPr>
      <t>la empresa</t>
    </r>
    <r>
      <rPr>
        <b/>
        <sz val="14"/>
        <color theme="0" tint="-4.9989318521683403E-2"/>
        <rFont val="Calibri"/>
        <family val="2"/>
        <scheme val="minor"/>
      </rPr>
      <t xml:space="preserve"> para cada acción, los resultados obtenidos, compromisos derivados y/o dificultades presentadas en su ejecución. Al final se obtendrá la sumatoria de horas de intervención ejecutadas al cierre de cada mes, así como el porcentaje de avance respecto al total de horas del plan de trabajo.</t>
    </r>
  </si>
  <si>
    <t>Fecha (DD-MM-AA)</t>
  </si>
  <si>
    <t>ACCION /OBJETIVO</t>
  </si>
  <si>
    <t>Horas de intervención en la empresa (MES)</t>
  </si>
  <si>
    <t xml:space="preserve">Observaciones y/o compromisos </t>
  </si>
  <si>
    <t xml:space="preserve">Capacitación en </t>
  </si>
  <si>
    <t>20 personas capacitadas</t>
  </si>
  <si>
    <t>Total avance % (mes)</t>
  </si>
  <si>
    <t>4. AVANCES Y COMPROMISOS EN EL MES</t>
  </si>
  <si>
    <t>Detalle los principales avances, conclusiones, compromisos y/o dificultades presentadas en el desarrollo de la intervención.</t>
  </si>
  <si>
    <t>5. FIRMA</t>
  </si>
  <si>
    <t>Gestor Local*</t>
  </si>
  <si>
    <t>* Con mi firma valido el adecuado contenido, profundidad y calidad de la información reportada por el extensionista de acuerdo con el Plan de Trabajo aprobado por el empresario</t>
  </si>
  <si>
    <t>Espacio disponible para ser diligenciado por el Gestor Local</t>
  </si>
  <si>
    <t xml:space="preserve">6. ACTA DE SEGUIMIENTO A LA IMPLEMENTACIÓN POR PARTE DEL GESTOR LOCAL </t>
  </si>
  <si>
    <t>Fecha de la visita y/o reunión de seguimiento:</t>
  </si>
  <si>
    <t xml:space="preserve">6.1. DESARROLLO DE LA INTERVENCIÓN </t>
  </si>
  <si>
    <t>Objetivo: Indique las observaciones sobre el desarrollo de la intervención en términos de pertinencia, oportunidad y calidad del servicio prestado por el extensionista y su grado de cumplimiento frente al plan de trabajo definido.</t>
  </si>
  <si>
    <t>6.2 SEGUIMIENTO A LA IMPLEMENTACIÓN</t>
  </si>
  <si>
    <t>Objetivo: Marque con una X las acciones llevadas a cabo</t>
  </si>
  <si>
    <t>EXTENSIONISTA</t>
  </si>
  <si>
    <t xml:space="preserve">SI </t>
  </si>
  <si>
    <t>EMPRESARIO</t>
  </si>
  <si>
    <t>¿Ha dado cumplimiento al Cronograma?</t>
  </si>
  <si>
    <t>¿Ha dado cumplimiento a las acciones planteadas en el Plan de Trabajo?</t>
  </si>
  <si>
    <t>¿ Ha implementado las actividades indicadas por el extensionista?</t>
  </si>
  <si>
    <t>¿Se han efectuado los cálculos y mediciones correctos sobre los indicadores fijos y variables?</t>
  </si>
  <si>
    <t>¿ Ha utilizado los Indicadores establecidos?</t>
  </si>
  <si>
    <t>¿ Los indicadores variables son pertinentes?</t>
  </si>
  <si>
    <t xml:space="preserve">6.3 NOVEDADES Y SITUACIONES RELEVANTES DE LA INTERVENCIÓN  </t>
  </si>
  <si>
    <t>Objetivo: Indique las observaciones sobre el desarrollo de la intervención de importancia y/o afectación de la intervención. En caso de que una de las respuetas anteriores sea NO por favor explicar</t>
  </si>
  <si>
    <t>Marzo</t>
  </si>
  <si>
    <r>
      <t>Fórmula utilizada en la linea base</t>
    </r>
    <r>
      <rPr>
        <b/>
        <sz val="12"/>
        <rFont val="Calibri"/>
        <family val="2"/>
        <scheme val="minor"/>
      </rPr>
      <t xml:space="preserve"> 
</t>
    </r>
    <r>
      <rPr>
        <b/>
        <sz val="11"/>
        <rFont val="Calibri"/>
        <family val="2"/>
        <scheme val="minor"/>
      </rPr>
      <t>(indicar variables: numerador/denominador)</t>
    </r>
  </si>
  <si>
    <t>Promedio mes de marzo en el proceso</t>
  </si>
  <si>
    <t>Fecha</t>
  </si>
  <si>
    <t>ACTA DE CIERRE Y RECIBO A SATISFACCIÓN CICLO # 3</t>
  </si>
  <si>
    <t>FSI-04</t>
  </si>
  <si>
    <t>Objetivo: Documentar los principales logros e impactos obtenidos como resultado de la intervención, adicionales a la evolución de los cinco (5) indicadores. Este formato se diligencia por Línea de Intervención.</t>
  </si>
  <si>
    <t>NIT (con digito de verificación):</t>
  </si>
  <si>
    <t>Fecha de Inicio de la Intervención</t>
  </si>
  <si>
    <t>Indicar el año</t>
  </si>
  <si>
    <t>Ciudad / Municipio:</t>
  </si>
  <si>
    <r>
      <t xml:space="preserve">Número total de horas </t>
    </r>
    <r>
      <rPr>
        <b/>
        <u/>
        <sz val="16"/>
        <rFont val="Calibri"/>
        <family val="2"/>
        <scheme val="minor"/>
      </rPr>
      <t>de intervención:</t>
    </r>
  </si>
  <si>
    <t>Actividad inscrita para el desarrollo de la intervención</t>
  </si>
  <si>
    <t>Área o proceso de la empresa intervenida:</t>
  </si>
  <si>
    <t>Linea, producto y/o servicio intervenida:</t>
  </si>
  <si>
    <t>Registrar a los funcionarios de la empresa con quienes se realiza la reunión. Incluya tantas filas como sean necesarias</t>
  </si>
  <si>
    <t xml:space="preserve">Correo </t>
  </si>
  <si>
    <t>3. CONCLUSIONES</t>
  </si>
  <si>
    <t>Describa el desarrollo de la intervención acorde con las acciones/actividades propuestas en el Plan de Trabajo, así como los logros y resultados alcanzados en cada una de ellas, indicando si hubo evolución en los métodos y maneras de hacer las cosas.</t>
  </si>
  <si>
    <t>Acciones propuestas y realizadas</t>
  </si>
  <si>
    <t>Logros y resultados alcanzados</t>
  </si>
  <si>
    <t>Impactos de la Intervención (Cualitativos y Cuantitativos) , resultados, conclusiones y su relación con la variacion de los indicadores en la empresa</t>
  </si>
  <si>
    <t>3.1. INDICADORES</t>
  </si>
  <si>
    <r>
      <t xml:space="preserve">Indique </t>
    </r>
    <r>
      <rPr>
        <b/>
        <u/>
        <sz val="16"/>
        <color theme="0"/>
        <rFont val="Calibri"/>
        <family val="2"/>
        <scheme val="minor"/>
      </rPr>
      <t xml:space="preserve">porcentualmente </t>
    </r>
    <r>
      <rPr>
        <b/>
        <sz val="16"/>
        <color theme="0"/>
        <rFont val="Calibri"/>
        <family val="2"/>
        <scheme val="minor"/>
      </rPr>
      <t>la variación para cada uno de los indicadores. Por f</t>
    </r>
    <r>
      <rPr>
        <b/>
        <u/>
        <sz val="16"/>
        <color theme="0"/>
        <rFont val="Calibri"/>
        <family val="2"/>
        <scheme val="minor"/>
      </rPr>
      <t>avor diligenciar todos los campos.</t>
    </r>
  </si>
  <si>
    <t>Cálculo de Medición de salida  
Numerador
/Denominador</t>
  </si>
  <si>
    <t>Unidad de medida</t>
  </si>
  <si>
    <t>Línea base</t>
  </si>
  <si>
    <t xml:space="preserve">Medición intermedia </t>
  </si>
  <si>
    <t>Medición de salida</t>
  </si>
  <si>
    <r>
      <t xml:space="preserve">% </t>
    </r>
    <r>
      <rPr>
        <b/>
        <u/>
        <sz val="17"/>
        <color theme="1"/>
        <rFont val="Calibri"/>
        <family val="2"/>
        <scheme val="minor"/>
      </rPr>
      <t>Porcentaje</t>
    </r>
    <r>
      <rPr>
        <b/>
        <sz val="17"/>
        <color theme="1"/>
        <rFont val="Calibri"/>
        <family val="2"/>
        <scheme val="minor"/>
      </rPr>
      <t xml:space="preserve"> de Variación 
(2 decimales)</t>
    </r>
  </si>
  <si>
    <t>Cumplio con la variación minina (SI/NO)</t>
  </si>
  <si>
    <t xml:space="preserve">Describa la informacion del resultado de acuerdo con  la medición de salida por cada indicador </t>
  </si>
  <si>
    <t>15 minutos</t>
  </si>
  <si>
    <t>Promedio de los meses de febrero y marzo de 2020</t>
  </si>
  <si>
    <t>Se evidenció la apropiación de los clientes en cuanto a acogerse al ChatBot para recibir soporte se redujo la cantidad de llamadas en un 10% adicional y el tiempo promedio de soporte es de 15 minutos</t>
  </si>
  <si>
    <t>En caso de ser una variación regresiva a la naturaleza del indicador, aclarar por que no se logro la variacion minima</t>
  </si>
  <si>
    <t>Coordinador de soporte    	8Horas
Agente 1     	8Horas
Agente 2   	4Horas</t>
  </si>
  <si>
    <t>El CTH es el promedio del mes de marzo</t>
  </si>
  <si>
    <t xml:space="preserve">Se evidenció la apropiación de los clientes en cuanto a acogerse al Chatbot para recibir soporte se redujo la cantidad de llamadas en un 10% adicional y el tiempo promedio de soporte es de 15 minutos.
EL agente 3 Se reubicó para generar una mejor experiencia de ventas gracias a conocer los problemas recurrentes con los clientes </t>
  </si>
  <si>
    <t>Venta: 1 días
Soporte: 0 días
y Logistica: 1 días</t>
  </si>
  <si>
    <t>Promedio de los meses de febrero y marzo de 2021</t>
  </si>
  <si>
    <t xml:space="preserve">El chatBot se actualiza para realizar procesos de venta y para dar información logística sobre el producto comprado. Se generó estrategia con la empresa de envío y se generó una bodega virtual con un stock como acción de continuidad en caso de materializarse un evento que afecte los procesos  y con el fin de reducir los tiempos de despacho del producto. Adicionalmente se selecciona e instala software que habilita el trabajo remoto. </t>
  </si>
  <si>
    <t>4. RECIBO A SATISFACCION</t>
  </si>
  <si>
    <r>
      <t>Como representante legal y como aparece al pie de mi firma, certifico en el marco del Programa Fábricas de Productividad, en los siguientes términos:
1.	Se recibieron</t>
    </r>
    <r>
      <rPr>
        <sz val="18"/>
        <color rgb="FFFF0000"/>
        <rFont val="Calibri"/>
        <family val="2"/>
        <scheme val="minor"/>
      </rPr>
      <t xml:space="preserve"> [incluir el número de horas]</t>
    </r>
    <r>
      <rPr>
        <sz val="18"/>
        <color theme="1"/>
        <rFont val="Calibri"/>
        <family val="2"/>
        <scheme val="minor"/>
      </rPr>
      <t xml:space="preserve"> horas efectivas de acompañamiento directo y se desarrollaron las actividades planteadas de acuerdo con el Plan de Trabajo previamente aprobado por </t>
    </r>
    <r>
      <rPr>
        <sz val="18"/>
        <color rgb="FFFF0000"/>
        <rFont val="Calibri"/>
        <family val="2"/>
        <scheme val="minor"/>
      </rPr>
      <t>[incluir nombre de la Empresa]</t>
    </r>
    <r>
      <rPr>
        <sz val="18"/>
        <color theme="1"/>
        <rFont val="Calibri"/>
        <family val="2"/>
        <scheme val="minor"/>
      </rPr>
      <t xml:space="preserve"> para la línea de </t>
    </r>
    <r>
      <rPr>
        <sz val="18"/>
        <color rgb="FFFF0000"/>
        <rFont val="Calibri"/>
        <family val="2"/>
        <scheme val="minor"/>
      </rPr>
      <t>[incluir el nombre de la línea de intervención]</t>
    </r>
    <r>
      <rPr>
        <sz val="18"/>
        <color theme="1"/>
        <rFont val="Calibri"/>
        <family val="2"/>
        <scheme val="minor"/>
      </rPr>
      <t xml:space="preserve">
2.	Se realizó el levantamiento de la línea base correspondiente al indicador </t>
    </r>
    <r>
      <rPr>
        <sz val="18"/>
        <color rgb="FFFF0000"/>
        <rFont val="Calibri"/>
        <family val="2"/>
        <scheme val="minor"/>
      </rPr>
      <t xml:space="preserve">[incluir el nombre del indicador fijo seleccionado por la línea de intervención] </t>
    </r>
    <r>
      <rPr>
        <sz val="18"/>
        <color theme="1"/>
        <rFont val="Calibri"/>
        <family val="2"/>
        <scheme val="minor"/>
      </rPr>
      <t>a partir del cual se evidenció su mejoramiento en al menos un</t>
    </r>
    <r>
      <rPr>
        <sz val="18"/>
        <color rgb="FFFF0000"/>
        <rFont val="Calibri"/>
        <family val="2"/>
        <scheme val="minor"/>
      </rPr>
      <t xml:space="preserve"> X</t>
    </r>
    <r>
      <rPr>
        <sz val="18"/>
        <color theme="1"/>
        <rFont val="Calibri"/>
        <family val="2"/>
        <scheme val="minor"/>
      </rPr>
      <t>%, acorde con la medición de salida efectuada, como resultado de la implementación de la intervención antes señalada.</t>
    </r>
  </si>
  <si>
    <t>Favor ajustar el texto a cada Empres e intervención</t>
  </si>
  <si>
    <t>Este documento debe ser firmado por la Empresa, el Extensionista y el Gestor</t>
  </si>
  <si>
    <t>Representante Legal de la Empresa</t>
  </si>
  <si>
    <t>Gestor*</t>
  </si>
  <si>
    <t>Fecha Aprobación Informe por Gestor Local:</t>
  </si>
  <si>
    <t>*Con mi firma certifico el adecuado contenido, profundidad y calidad de la información reportada por el extensionista de acuerdo con el Plan de Trabajo Propuesto y validación realizada con el empresario</t>
  </si>
  <si>
    <t>Indicadores Fijos</t>
  </si>
  <si>
    <t xml:space="preserve">Linea de Intervencion </t>
  </si>
  <si>
    <t>Indicador Fijo 1</t>
  </si>
  <si>
    <t xml:space="preserve">Sustentación </t>
  </si>
  <si>
    <t>Variable</t>
  </si>
  <si>
    <t>Formula</t>
  </si>
  <si>
    <t>Variacion</t>
  </si>
  <si>
    <t>Naturaleza</t>
  </si>
  <si>
    <t>Indicador Fijo 2</t>
  </si>
  <si>
    <t>Variables</t>
  </si>
  <si>
    <t>Indicador Fijo 3</t>
  </si>
  <si>
    <t xml:space="preserve">observaciones </t>
  </si>
  <si>
    <t>Clientes activos (CA)</t>
  </si>
  <si>
    <t>Medirá la tasa en que la empresa o unidad de negocio atrae o gana nuevos clientes y/o recupera clientes inactivos</t>
  </si>
  <si>
    <t>• Clientes activos.
• Clientes totales.</t>
  </si>
  <si>
    <t>Porcentaje.</t>
  </si>
  <si>
    <t>CA =( Número de clientes activos/Clientes totales)*100</t>
  </si>
  <si>
    <t>((CA2-CA1)/CA1)*100</t>
  </si>
  <si>
    <t>Aumento</t>
  </si>
  <si>
    <t>Variación en Ventas (VV)</t>
  </si>
  <si>
    <t>Tasa de crecimiento de las ventas en un período determinado</t>
  </si>
  <si>
    <t xml:space="preserve">• Ventas en el periodo T: Último mes completo antes de finalizar la intervención 
• Ventas en el periodo T-1: Último mes completo antes del inicio de intervención                               </t>
  </si>
  <si>
    <t>Pesos colombianos</t>
  </si>
  <si>
    <t>VV=((Ventas_(t)-Ventas_(t-1))/Ventas_(t-1) )*100</t>
  </si>
  <si>
    <t>((Ventas2-Ventas1)/Ventas1)*100</t>
  </si>
  <si>
    <t>clientes activos:
*El numerador debe estar dado por los clientes activos al momento de inicio de la intervención (Se toma el dato de clientes  que facturaron al corte del mes anterior)
*El denominador se entiende como el total de clientes vigentes registrados en la Base de datos de la empresa en un período no mayor a 3 años. 
Ambos valores deben darse en cifras acumuladas, no promedios.
Variación en ventas:
Para el cálculo de la variación de las ventas se debe tener en cuenta que el período T será el último mes completo antes de finalizar la intervención , a su vez, el período T-1 será el último mes completo antes del inicio de intervención. Se tomarán los valores absolutos y acumulados, no promedios, ni promedios móviles. Para la definición de los períodos según la estacionalidad de la empresa consulte los escenarios permitidos.</t>
  </si>
  <si>
    <t>Reducción de tiempo de no valor agregado (TNVA)</t>
  </si>
  <si>
    <t>Tasa de variación en el tiempo en el que no se agrega valor.</t>
  </si>
  <si>
    <t xml:space="preserve">• Tiempo de no valor agregado subproceso 
</t>
  </si>
  <si>
    <t>Número de minutos/ horas/ días.</t>
  </si>
  <si>
    <t xml:space="preserve">TNVA=∑ Tiempos de no valor agregado para cada subproceso </t>
  </si>
  <si>
    <t>((TNVA2-TNVA1)/TNVA1)*100</t>
  </si>
  <si>
    <t>Disminución</t>
  </si>
  <si>
    <t>Ahorros generados por reducción de desperdicios (AD)</t>
  </si>
  <si>
    <t xml:space="preserve">Debe indicar cual subvariables utilizó de las 7 opciones </t>
  </si>
  <si>
    <t>En este caso se elige 1 de los  7 subindicadores posibles, señalados en la hoja indicadores, en lista de indicadores variables de la línea con "- (2)"</t>
  </si>
  <si>
    <t>Costos de producción por empleado (CPE)</t>
  </si>
  <si>
    <t>Promedio de costos por empleado.</t>
  </si>
  <si>
    <t>• Costos de producción
• Número de empleados.</t>
  </si>
  <si>
    <t>Pesos por empleado.</t>
  </si>
  <si>
    <t>CPE=(Costos de producción)/(Número de empleados)</t>
  </si>
  <si>
    <t>(CPE2-CPE1)/CPE1)*100</t>
  </si>
  <si>
    <t>Productividad Laboral (PL)</t>
  </si>
  <si>
    <t>•Productos realizados (PR)
• Número de empleados (NE).</t>
  </si>
  <si>
    <t>Piezas por empleado.</t>
  </si>
  <si>
    <t>PL = PR / NE</t>
  </si>
  <si>
    <t>(PL2-PL1)/PL1)*100</t>
  </si>
  <si>
    <t>Cantidad de energía ahorrada (CEA) asociada a la producción por cada medida de eficiencia energética que se implemente</t>
  </si>
  <si>
    <t>Multiplicación de la producción por la diferencia entre el consumo de energía de línea base y de la línea de comparación por cada medida de eficiencia energética que se implemente</t>
  </si>
  <si>
    <t>• Producción: corresponde a la Producción promedio del área o proceso después de la implementación del proyecto.
• Indicador de consumo: corresponde al consumo del área o proceso por cada unidad producida después de la implementación del proyecto.</t>
  </si>
  <si>
    <t>kWh/año
 Toneladas carbón/año
m3 Gas Natural/año
Galones/año</t>
  </si>
  <si>
    <t>CEA = Producción (Indicador de consumo inicial - Indicador de consumo final)</t>
  </si>
  <si>
    <t>(Indicador de consumo inicial - Indicador de consumo final)*100%/Indicador de consumo inicial</t>
  </si>
  <si>
    <t>Cantidad de energía ahorrada (CEA) de una medida de eficiencia energética no asociada a la producción que se implemente</t>
  </si>
  <si>
    <t>Diferencia entre el consumo de energía de línea base y de la línea de comparación</t>
  </si>
  <si>
    <t>Consumo energético entre la línea base y línea de comparación el área o equipo que se intervenga
• Tiempo del periodo demostrativo</t>
  </si>
  <si>
    <t>CEA = Consumo de energía inicial - Consumo de energía final</t>
  </si>
  <si>
    <t>(Consumo de energía de la línea base-Consumo de energía de la línea de comparación)*100%/Consumo de energía de la línea base</t>
  </si>
  <si>
    <t>Ahorro Económico (AE)</t>
  </si>
  <si>
    <t>Ahorro monetario por eficiencia en el uso de la energía</t>
  </si>
  <si>
    <t>• Energía ahorrada.
• Costo unitario de la energía.</t>
  </si>
  <si>
    <t>Pesos (COP)</t>
  </si>
  <si>
    <t>AE = Energía ahorrada (kwh)*Costo unitario ($⁄kwh)</t>
  </si>
  <si>
    <t>(Costo económico de la energía de la línea base-Costo económico de la energía de la línea de comparación)*100%/Costo económico de la energía de la línea base</t>
  </si>
  <si>
    <t>Nivel de Control NC</t>
  </si>
  <si>
    <t>Se refiere al alcance del sistema de gestión en los procesos de la empresa</t>
  </si>
  <si>
    <t>Procesos controlados y procesos no controlados</t>
  </si>
  <si>
    <t xml:space="preserve">porcentaje </t>
  </si>
  <si>
    <t>(Cantidad de Procesos estandarizados/ Total de Procesos en la empresa)*100</t>
  </si>
  <si>
    <t>((NC2-NC1)/NC1) *100</t>
  </si>
  <si>
    <t xml:space="preserve">Productos no conformes </t>
  </si>
  <si>
    <t>Productos y servicios que no cumplen con las específicaciones de calidad determinadas por la empresa, normas, regulaciones</t>
  </si>
  <si>
    <t>Productos/servicios conformes con las especificaciones de calidad</t>
  </si>
  <si>
    <t>PNC= (Número de productos o servicios no conformes   /   Total de productos o servicios de la unidad o línea)*100</t>
  </si>
  <si>
    <t>((PNC2-PNC1)/PNC1) *100</t>
  </si>
  <si>
    <t xml:space="preserve">Transformación digital </t>
  </si>
  <si>
    <t>Ahorros en tiempos por aplicación de herramientas digitales</t>
  </si>
  <si>
    <t>Cálculo de desviaciones de tiempo</t>
  </si>
  <si>
    <t xml:space="preserve">• Tiempo Empleado - TE
</t>
  </si>
  <si>
    <t>minutos</t>
  </si>
  <si>
    <t>TE = Tiempo efectivo Empleado en la actividad n  que es parte del proceso definido a intervenir - TE</t>
  </si>
  <si>
    <t>((ATD2-ATD1)/ATD1)*100</t>
  </si>
  <si>
    <t>Reducción de costos de Talento Humano en procesos por automatización - RTH</t>
  </si>
  <si>
    <t>Definición del costo relacionado con empleados  para un proceso del VSM</t>
  </si>
  <si>
    <t xml:space="preserve">CTH = Sumatoria (los costos de la hora del empleado n X Tiempo en horas del empleado n invertido en el proceso) 
• Tiempo en horas del empleado invertido en el proceso - T </t>
  </si>
  <si>
    <t>$Pesos</t>
  </si>
  <si>
    <t xml:space="preserve">CTH = Sumatoria (los costos de la hora del empleado n X Tiempo en horas del empleado n invertido en el proceso) </t>
  </si>
  <si>
    <t>((CTH2-CTH1)/CTH1)*100</t>
  </si>
  <si>
    <t>Tiempo de recuperación de procesos críticos por digitalización.</t>
  </si>
  <si>
    <t>Definición del tiempo de recuperación de los procesos criticos en una organización</t>
  </si>
  <si>
    <t>Sumatoria del tiempo de recuperación de procesoscríticos.</t>
  </si>
  <si>
    <t>Dias</t>
  </si>
  <si>
    <t>Tiempo máximo de recuperación de un proceso critico</t>
  </si>
  <si>
    <t>((TMR2-TMR1)/TMR1)*100</t>
  </si>
  <si>
    <t>Desarrollo y sofistificación</t>
  </si>
  <si>
    <t>Ahorros de costos por innovación - AI ​</t>
  </si>
  <si>
    <t>Definición de los costos ahorrados por nuevas formas de ejecución de procesos que generan los bienes o servicios de la organización.</t>
  </si>
  <si>
    <t>•Costos relacionados con la producción/prestación  del bien/servicio - CP</t>
  </si>
  <si>
    <t>Pesos</t>
  </si>
  <si>
    <t>Sumatoria de costos de relacionados con la producción/prestación  del bien/servicio​</t>
  </si>
  <si>
    <t>((CP2-CP1)/CP1)*100</t>
  </si>
  <si>
    <t>Incremento de clientes por oferta innovadora - C</t>
  </si>
  <si>
    <t xml:space="preserve">Describe el impacto de desarrollar o sofisticar un bien/servicio en los clientes de una organización. </t>
  </si>
  <si>
    <t>•No. Clientes Activos o promedio en el periodo X - CL_x000D_
•Clientes adquiridos por oferta innovadora - CI</t>
  </si>
  <si>
    <t>Clientes.</t>
  </si>
  <si>
    <t>C= Sumatoria de los Clientes Activos o promedio en el periodo X + Sumatoria de los Clientes adquiridos por oferta innovadora</t>
  </si>
  <si>
    <t>((C2-C1)/C1)*100</t>
  </si>
  <si>
    <t>Time to Market - TM</t>
  </si>
  <si>
    <t>Describe el tiempo en que una organización genera un concepto de bien/servicio hasta su lanzamiento al mercado. Aplica solo para empresas que cuenten con la medición.</t>
  </si>
  <si>
    <t>•tiempo en meses desde el concepto del producto inicial hasta su lanzamiento en el mercado - TM</t>
  </si>
  <si>
    <t xml:space="preserve">Meses </t>
  </si>
  <si>
    <t>TM = tiempo en meses desde el concepto del producto inicial hasta su lanzamiento en el mercado</t>
  </si>
  <si>
    <t>((TM2-TM1)/TM1)*100</t>
  </si>
  <si>
    <t>Logística</t>
  </si>
  <si>
    <t xml:space="preserve">Costo logístico </t>
  </si>
  <si>
    <t>Calcula el peso de la logística en el valor de ventas. Puede ser total o referirse a distribución, aprovisionamiento o almacenamiento.</t>
  </si>
  <si>
    <t>• Costo Logistico (CL)
• Ventas (V)</t>
  </si>
  <si>
    <t>%CLt= (CL/V)*100</t>
  </si>
  <si>
    <t xml:space="preserve"> ((CLf-Cli)/Cli)*100</t>
  </si>
  <si>
    <t xml:space="preserve">Entregas perfectas </t>
  </si>
  <si>
    <t>Porcentaje de entregas realizadas correctamente y a tiempo</t>
  </si>
  <si>
    <t>• Cantidad de unidades conformes entregadas (calidad y cantidad).
• Cantidad de unidades despachadas.</t>
  </si>
  <si>
    <t>UCt = (Unidades conformes / total unidades despachadas)*100</t>
  </si>
  <si>
    <t xml:space="preserve">((UCf-UCi)/UCi)*100 </t>
  </si>
  <si>
    <t>Consumo de recursos/materias primas (CM)</t>
  </si>
  <si>
    <t>Se refiere a la optimización del uso de materias primas de alto impacto ambiental identificada como material virgen  (no reutilizadas ni recicladas) para el flujo de producción.  Cada empresa identificará las materias primas según la naturaleza de sus actividades y el tipo de recursos: agua, energía, materiales, etc.</t>
  </si>
  <si>
    <t>• Cantidad de material nuevo (C)
• Producción (P)</t>
  </si>
  <si>
    <t>Unidad Materia Virgen/ Unidad de Producción</t>
  </si>
  <si>
    <t>CMt = Ct/Pt</t>
  </si>
  <si>
    <t>% Var = (CMf - CMi)/Cmi</t>
  </si>
  <si>
    <t>Costos de disposición/emisión/vertimiento (CDV)</t>
  </si>
  <si>
    <t>Se refiere al valor que paga la empresa por disponer o tratar los sobrantes de su proceso productivo</t>
  </si>
  <si>
    <t>• Costo de disposición/tratamiento  (CD)
*Ventas (V)</t>
  </si>
  <si>
    <t>• Porcentaje</t>
  </si>
  <si>
    <t xml:space="preserve">CDVt= (CD/V)*100
</t>
  </si>
  <si>
    <t>% Var = (CDVf - CDVi)/CDVi</t>
  </si>
  <si>
    <t>Indicadores Variables</t>
  </si>
  <si>
    <t xml:space="preserve">Indicador </t>
  </si>
  <si>
    <t>Clientes rentables (CR).</t>
  </si>
  <si>
    <t>Permite depurar y optimizar el portafolio de clientes.</t>
  </si>
  <si>
    <t>• Magen de contribución por  cliente.
• Número de clientes.</t>
  </si>
  <si>
    <t>Proporción.</t>
  </si>
  <si>
    <t>CR=Número de clientes rentable/Total de clientes</t>
  </si>
  <si>
    <t>((CR2-CR1)/CR1)*100</t>
  </si>
  <si>
    <t>Valor Vitalicio (VVL).</t>
  </si>
  <si>
    <t>El Lifetime Value es el ingreso que un cliente deja a lo largo de su relación con la empresa.</t>
  </si>
  <si>
    <t>• m = Margen de contribución de un cliente en un año.
• r = tasa de retención de clientes (%).
• i = es la tasa de descuento de los flujos (%).</t>
  </si>
  <si>
    <t>$COP.</t>
  </si>
  <si>
    <t>VVL=m*( r / ( 1 + i - r )</t>
  </si>
  <si>
    <t>((VVL2-VVL1)/VVL1)*100</t>
  </si>
  <si>
    <t>Ventas por cliente (VC).</t>
  </si>
  <si>
    <t>Promedio de ventas totales por cliente</t>
  </si>
  <si>
    <t>• Ventas.
• Número de clientes.</t>
  </si>
  <si>
    <t>Pesos por cliente.</t>
  </si>
  <si>
    <t>VC=Ventas/(Número de clientes)</t>
  </si>
  <si>
    <t>((VC2-VC1)/VC1)*100</t>
  </si>
  <si>
    <t>Razón de exportaciones (RE).</t>
  </si>
  <si>
    <t>Exportaciones como proporción de las ventas.</t>
  </si>
  <si>
    <t>• Exportaciones.
• Ventas.</t>
  </si>
  <si>
    <t>RE=Exportaciones/Ventas</t>
  </si>
  <si>
    <t>((RE2-RE1)/RE1)*100</t>
  </si>
  <si>
    <t>Ventas por vendedor (VVE).</t>
  </si>
  <si>
    <t>Ventas promedio por vendedor.</t>
  </si>
  <si>
    <t>• Ventas.
• Número de vendedores.</t>
  </si>
  <si>
    <t>Pesos por vendedor.</t>
  </si>
  <si>
    <t>VVE=Ventas/(Número de vendedores)</t>
  </si>
  <si>
    <t>((VVE2-VVE1)/VVE1)</t>
  </si>
  <si>
    <t>Variación exportaciones (VEX).</t>
  </si>
  <si>
    <t>Tasa de crecimiento de las exportaciones.</t>
  </si>
  <si>
    <t xml:space="preserve">• Exportaciones en el año t.
• Exportaciones en el año t-1.            </t>
  </si>
  <si>
    <t>VVX=((Ventas_(t)-Ventas_(t-1))/Ventas_(t-1) )*100</t>
  </si>
  <si>
    <t>((VVX2-VVX1)/VVX1)*100</t>
  </si>
  <si>
    <t>Clientes por vendedor (CV)</t>
  </si>
  <si>
    <t>Número de clientes promedio por vendedor</t>
  </si>
  <si>
    <t>• Número de clientes.
• Número de vendedores.</t>
  </si>
  <si>
    <t>CV=(Número de clientes)/(Número de vendedores)</t>
  </si>
  <si>
    <t>((CV2-CV1)/CV1)*100</t>
  </si>
  <si>
    <t>Índice de cartera (IC).</t>
  </si>
  <si>
    <t>Ventas como proporción de las cuentas por cobrar.</t>
  </si>
  <si>
    <t>• Ventas.
• Cuentas por cobrar.</t>
  </si>
  <si>
    <t>IC=Ventas/(Cuentas por cobrar)</t>
  </si>
  <si>
    <t>((IC2-IC1)/IC1)*100</t>
  </si>
  <si>
    <t>Tiempo de ciclo productivo (TCP) - (2)</t>
  </si>
  <si>
    <t>Desde que se recibe la orden de producció hasta convertirse en producto final</t>
  </si>
  <si>
    <t>• No de días / horas / minutos de la orden de producción hasta el producto final</t>
  </si>
  <si>
    <t>Minutos / horas / dias</t>
  </si>
  <si>
    <t>TCP=(Minutos / horas/ dias) desde orden hasta producto final</t>
  </si>
  <si>
    <t>((TCP2-TCP1)/TCP1)*100</t>
  </si>
  <si>
    <t>Ahorro en materias primas (AMP). - (2)</t>
  </si>
  <si>
    <t>Ahorro monetario por eficiencia en el uso de materias primas.</t>
  </si>
  <si>
    <t>• Materia prima ahorrada (toneladas u otra unidad de medida) (MPA).
• Costo unitario (pesos por unidad de medida).</t>
  </si>
  <si>
    <t>MP=MPA*Costo unitario</t>
  </si>
  <si>
    <t>(MP2-MP1)/MP1)*100</t>
  </si>
  <si>
    <t>Defectos (DE). - (2)</t>
  </si>
  <si>
    <t>Producción defectuosa como producción del total.</t>
  </si>
  <si>
    <t>• Producción con defectos o no conforme.
• Producción total.</t>
  </si>
  <si>
    <t>DE=(Producción con defectos)/(Producción total)</t>
  </si>
  <si>
    <t>(DE2-DE1)/DE1)*100</t>
  </si>
  <si>
    <t>Overall Equipment Efficiency (OEE). - (2)</t>
  </si>
  <si>
    <t>Mide el porcentaje de tiempo productivo eficiente.</t>
  </si>
  <si>
    <t>• Disponibilidad paradas planeadas y no planeadas (D).
• Rendimiento (ciclos lentos y paradas pequeñas) ®.
• Calidad (defectos y reprocesos).</t>
  </si>
  <si>
    <t>OEE=(D*R*C)*100</t>
  </si>
  <si>
    <t>(OEE2-OEE1)/OEE1)*100</t>
  </si>
  <si>
    <t>Rotación del inventario (RI).</t>
  </si>
  <si>
    <t>Días promedio en que el inventario se convierte en dinero o cuentas por cobrar en un año.</t>
  </si>
  <si>
    <t>• Costo de productos vendidos.
• Promedio de inventarios.</t>
  </si>
  <si>
    <t>Días.</t>
  </si>
  <si>
    <t>RI= (360/Costo de productos vendidos)/Promedio de inventarios</t>
  </si>
  <si>
    <t>(RI2-RI1)/RI1)*100</t>
  </si>
  <si>
    <t>Costo unitario de producción (CU). - (2)</t>
  </si>
  <si>
    <t>Costo por unidad producida.</t>
  </si>
  <si>
    <t>• Costo total de producción (materias primas + mano de obra + gastos de producción) (CT).
• Número de productos fabricados.</t>
  </si>
  <si>
    <t>Pesos por unidad.</t>
  </si>
  <si>
    <t>CU=CT/(Número de productos)</t>
  </si>
  <si>
    <t>(CU2-CU1)/CU1)*100</t>
  </si>
  <si>
    <t>Recuperación de espacios (RE).</t>
  </si>
  <si>
    <t>Optimización del layout de planta y oficinas.</t>
  </si>
  <si>
    <t>• Metros cuadrados.</t>
  </si>
  <si>
    <t>RE = (Metros recuperados / Total de metros cuadrados)*100.</t>
  </si>
  <si>
    <t>(RE2-RE1)/RE1)*100.</t>
  </si>
  <si>
    <t>Tiempo de alistamiento promedio de equipos(TA)</t>
  </si>
  <si>
    <t>Configuración de equipos.
Puesta a punto.</t>
  </si>
  <si>
    <t>• Equipos.
• Tiempo.</t>
  </si>
  <si>
    <t>Minutos.</t>
  </si>
  <si>
    <t>TA=∑ Tiempos de alistamiento equipos / Total de quipos intervenidos.</t>
  </si>
  <si>
    <t>(TA2-TA1)/TA1)*100</t>
  </si>
  <si>
    <t>Nivel de rotación de inventario (NRI).</t>
  </si>
  <si>
    <t>Las veces que se vende el total del inventario.</t>
  </si>
  <si>
    <t>• Materias primas (MP).
• Producto en proceso (PP).
• Producto terminado (PT).
• Ventas (V).</t>
  </si>
  <si>
    <t>Veces.</t>
  </si>
  <si>
    <t>NRI = Ventas / (MP + PP + PT)</t>
  </si>
  <si>
    <t>(NRI2-NRI1)/NRI1)*100</t>
  </si>
  <si>
    <t>Costo calidad interna (CCI). - (2)</t>
  </si>
  <si>
    <t>Se refiere al desperdicio generado dentro del proceso (SCRAP).</t>
  </si>
  <si>
    <t>• Costo de la materia prima sobrante.
• Costo de los reprocesos.
• Costo de los retrabajos.</t>
  </si>
  <si>
    <t>Pesos.</t>
  </si>
  <si>
    <t>CCI =∑ Valor de los desperdicios generados por reprocesos, retrabajos, sobrantes en materias primas.</t>
  </si>
  <si>
    <t>(CCI2-CCI1)/CCI1)*100</t>
  </si>
  <si>
    <t>Costo calidad externa (CCE). - (2)</t>
  </si>
  <si>
    <t>Se refiere a los costos asumidos por garantía, servicio posventa, devoluciones, reclamos.</t>
  </si>
  <si>
    <t>• Costo servicios posventa.
• Costo devoluciones.
• Costo garantías.</t>
  </si>
  <si>
    <t>CCE = Valor debido a costos de devoluciones, garantías, servicios posventa.</t>
  </si>
  <si>
    <t>(CCE2-CCE1)/CCE1)*100</t>
  </si>
  <si>
    <t>Nivel de Pull System.</t>
  </si>
  <si>
    <t>Entregados directamente al sitio donde van a ser procesados, sin inspección ni almacenamientos previos.</t>
  </si>
  <si>
    <t>• Materias primas (MP).
• Insumos (I).
• Materiales (M).</t>
  </si>
  <si>
    <t xml:space="preserve">(Número de ítems de MP en sitio de proceso
÷
Número total de ítems de MP)*100
</t>
  </si>
  <si>
    <t>Ausentismo (AUS).</t>
  </si>
  <si>
    <t>Proporción de horas de ausentismo  laboral con respecto al total de horas laboradas en el periodo.</t>
  </si>
  <si>
    <t>• Horas de ausentismo laboral.
·   Total de horas del periodo</t>
  </si>
  <si>
    <t>AUS=(Horas de ausentismo)/(Total de horas en el periodo)</t>
  </si>
  <si>
    <t>(AUS2-AUS1)/AUS1)*100</t>
  </si>
  <si>
    <t>Rotación de personal (RP).</t>
  </si>
  <si>
    <t>Porcentaje de renuncias o despidos con respecto al total de empleados.</t>
  </si>
  <si>
    <t>• Número de renuncias o despidos (REN).
• Promedio efectivo de empleados.</t>
  </si>
  <si>
    <t>RP=REN/(Promedio de empleados)*100</t>
  </si>
  <si>
    <t>(RP2-RP1)/RP1)*100</t>
  </si>
  <si>
    <t>Ventas por empleado (VEM).</t>
  </si>
  <si>
    <t>Promedio de ventas por empleado.</t>
  </si>
  <si>
    <t>• Ventas totales
• Número promedio de empleados.</t>
  </si>
  <si>
    <t>VEM=Ventas totales/(Número promedio de empleados)</t>
  </si>
  <si>
    <t>(VEM2-VEM1)/VEM1)*100</t>
  </si>
  <si>
    <t>Participación (P).</t>
  </si>
  <si>
    <t>• Número de ideas y proyectos de mejoramiento al año (IP).
• Total de trabajadores (TT).</t>
  </si>
  <si>
    <t>Ideas o Proyectos por persona.</t>
  </si>
  <si>
    <t>P = IP / TT</t>
  </si>
  <si>
    <t>(P2-P1)/P1)*100</t>
  </si>
  <si>
    <t>Trabajo estandarizado (TE).</t>
  </si>
  <si>
    <t>• Personal capacitado y entrenado en su sitio de trabajo (PC).
• Total de trabajadores (TT).</t>
  </si>
  <si>
    <t>TE = (PC / TT)*100%</t>
  </si>
  <si>
    <t>(TE2-TE1)/TE1)*100</t>
  </si>
  <si>
    <t>Accidentalidad (ACC).</t>
  </si>
  <si>
    <t>• Horas de trabajo perdidas debido a los accidentes (HA).
• Horas de trabajo total (HT).</t>
  </si>
  <si>
    <t>ACC = (HA / HT)*100%</t>
  </si>
  <si>
    <t>(ACC2-ACC1)/ACC1)*100</t>
  </si>
  <si>
    <t>Productividad energética (PE).</t>
  </si>
  <si>
    <t>Mide la productividad de uso de los recursos energéticos.</t>
  </si>
  <si>
    <t>• Producción por mes (Pm) en cantidad del área o línea de producción asociada a los equipos que se intervengan.
• Consumo de los recursos energéticos en el mes (CRE) para el equipo o área que se intervengan.</t>
  </si>
  <si>
    <t>Cantidad (toneladas, unidades, m3) / kWh</t>
  </si>
  <si>
    <t>PE = Pm / CRE</t>
  </si>
  <si>
    <t>(Productividad energética de la línea base - Productividad energética de la línea de comparación)*100%/Productividad energética de la línea base</t>
  </si>
  <si>
    <t>Emisiones CO2 por  cada medida de eficiencia energética implementada</t>
  </si>
  <si>
    <t>Puede medir el impacto ambiental generado ya que estiman la cantidad en masa (kilogramos o toneladas) de CO2 que se deja de emitir a la atmosfera por dejar de consumir energéticos (electricidad, diesel, gas, carbón, etc.)</t>
  </si>
  <si>
    <t>•  Cantidad de emisiones de CO2 dejadas de emitir después de implementar BPOs o proyectos de reconversión/mejora</t>
  </si>
  <si>
    <t>Kilogramos o toneladas de CO2.</t>
  </si>
  <si>
    <t>Emisiones totales de la empresa= ∑Kg CO2 dejados de emitir en cada proceso o equipo que se intervenga.</t>
  </si>
  <si>
    <t>(Emisiones de CO2 de la línea base - Emisiones de CO2 de la línea de comparación)*100%/Emisiones de CO2 de la línea base</t>
  </si>
  <si>
    <t>Proporción consumo de energía (PCE).</t>
  </si>
  <si>
    <t>Proporción de costo de consumo de energía de toda la empresa con respecto al total de costos de producción de toda la empresa</t>
  </si>
  <si>
    <t xml:space="preserve">• Valor consumo de energía de toda la empresa
• Costos de producción de toda la empresa
</t>
  </si>
  <si>
    <t>Porcentaje (%)</t>
  </si>
  <si>
    <t>PCE = (Costo del consumo de energía)*100%/(Costos totales de producción)</t>
  </si>
  <si>
    <t>(Proporción consumo de energía de la línea base-Proporción consumo de energía de la línea de comparación)*100%/(Proporción consumo de energía de la línea base)</t>
  </si>
  <si>
    <t>Valoración de las perdidas por falta o fallas del sistema de gestión de calidad</t>
  </si>
  <si>
    <t xml:space="preserve">Ejemplos:
- Cantidad de productos defectuosos/costo productos defectuosos
-Tiempo que no agrega valor de un proceso/costo mano de obra de proceso analizado
-Costo de garantías
- Costo perdida de inventarios
</t>
  </si>
  <si>
    <t>Según variable elegida en la empresa. Pesos.</t>
  </si>
  <si>
    <t>Según variable elegida en la empresa.  CNC= Costos de produccion * numero de productos no conformes.</t>
  </si>
  <si>
    <t>((CNC2-CNC1) / CNC1)*100</t>
  </si>
  <si>
    <t xml:space="preserve">Satisfacción del cliente (S) </t>
  </si>
  <si>
    <t>Nivel de conformidad del cliente con los productos o servicios de la empresa</t>
  </si>
  <si>
    <t>Tiene establecidos niveles de satisfacción y medidas de mejoramiento en cada caso</t>
  </si>
  <si>
    <t>Según variable elegida en la empresa.</t>
  </si>
  <si>
    <t>((S2-S1)/S1)*100</t>
  </si>
  <si>
    <t>Equipo de control de calidad</t>
  </si>
  <si>
    <t>La empresa tiene capital humano definido con funciones y responsabilidades frente a la calidad</t>
  </si>
  <si>
    <t>Cargos, funciones y responsabilidades en calidad definidos e identificados en organigrama de calidad</t>
  </si>
  <si>
    <t>Prcentaje</t>
  </si>
  <si>
    <t>(Numero de personas calidad NCHC / Total empleados CH)*100</t>
  </si>
  <si>
    <t>((NCHC2-NCHC1)/NCHC1)*100</t>
  </si>
  <si>
    <t>Ventas Nuevos Productos Servicios - VN</t>
  </si>
  <si>
    <t>Participación de los Nuevos Productos NP o Nuevos Servicios NS.</t>
  </si>
  <si>
    <t>•Ventas Nuevos Productos - Nuevos Servicios - V 
• Ventas totales - VT</t>
  </si>
  <si>
    <t>VN = (V/VT)*100</t>
  </si>
  <si>
    <t>((VN2-VN1)/VN1)*100</t>
  </si>
  <si>
    <t>Costo por clientes por oferta innovadora - NC.</t>
  </si>
  <si>
    <t>Consiste en evaluar la efectividad que tiene la inversión de nuevas estrategias de mercado y la llegada de clientes nuevos.</t>
  </si>
  <si>
    <t>• Inversión en valor moneda realizada para nuevas estrategias de mercadeo (INEM).
• Número de clientes nuevos (CN).</t>
  </si>
  <si>
    <t>Pesos por cliente nuevo.</t>
  </si>
  <si>
    <t>NC = INEM / CN</t>
  </si>
  <si>
    <t>((NC2 - NC1)/NC1)*100</t>
  </si>
  <si>
    <t>Inversión - I</t>
  </si>
  <si>
    <t>Fuente de recuperación de la Inversión.</t>
  </si>
  <si>
    <t>• Valor inversión en I+D+i por Producto/servicio lanzado al mercado - VI
• Valor total Ventas (NP- NS) - VT</t>
  </si>
  <si>
    <t>I= (1-(VI/VT))*100</t>
  </si>
  <si>
    <t>((I2 - I1)/I1)*100</t>
  </si>
  <si>
    <t>Portafolio de proyectos - PP</t>
  </si>
  <si>
    <t>Aporte de la I+D+i al valor total del portafolio de proyectos de la empresa.</t>
  </si>
  <si>
    <t>• Valor Presente Neto de proyecto asociado I+D+i - VPNI
• Valor Presente Neto de   proyecto no relacionado con I+D+i de la empresa - VPNG</t>
  </si>
  <si>
    <t>PP= sumatoria del Valor Presente Neto de los proyectos asociados I+D+i / sumatoria del Valor Presente Neto de los proyectos no relacionados con I+D+i de la empresa</t>
  </si>
  <si>
    <t>((PP2 -PP1)/PP1)*100</t>
  </si>
  <si>
    <t>Recurso humano enfocado en la innovación - RHI</t>
  </si>
  <si>
    <t>Personal capacitado y enfocado en la generación de nuevas ideas y desarrollo de nuevos productos. Asegura que las personas gasten una porción sustancial de su tiempo en innovación.</t>
  </si>
  <si>
    <t>• Número de personas dedicadas a I+D+i (NP).
• Número total de empleados (NTE).</t>
  </si>
  <si>
    <t>RHI = (NP / NTE)*100%</t>
  </si>
  <si>
    <t>((RHI2 -RHI1)/RHI1)*100</t>
  </si>
  <si>
    <t>Número de patentes - P</t>
  </si>
  <si>
    <t>Protección al permitir utilizar exclusivamente un tipo de proceso o máquina y puede venderse o licenciarse, es decir aprobar que otras personas lo utilicen sin perder los derechos absolutos.</t>
  </si>
  <si>
    <t>• Patentes reconocidas - PR</t>
  </si>
  <si>
    <t xml:space="preserve">Patentes. </t>
  </si>
  <si>
    <t xml:space="preserve">P= Sumatoria de Patentes de la empresa </t>
  </si>
  <si>
    <t>((P2 -P1)/P1)*100</t>
  </si>
  <si>
    <t xml:space="preserve">Clientes potenciales del bien/servicio </t>
  </si>
  <si>
    <t>Numero de clientes reales que compran los bienes/servicios</t>
  </si>
  <si>
    <t>•Clientes - CL
•Clientes adquiridos por oferta innovadora - CI</t>
  </si>
  <si>
    <t xml:space="preserve">Clientes </t>
  </si>
  <si>
    <t>𝐶𝑃=∑_(𝑘=1)^𝑛▒(𝑛¦𝑘)  𝐶𝐿+∑_(𝑘=1)^𝑛▒(𝑛¦𝑘)  CI</t>
  </si>
  <si>
    <t>Plazo de aprovisionamiento</t>
  </si>
  <si>
    <t>Tiempo que toma un pedido en ser recibido una vez es emitida la orden</t>
  </si>
  <si>
    <t xml:space="preserve">• Fecha de recepción del pedido (FR)
• Fecha de emisión del pedido (FE)
</t>
  </si>
  <si>
    <t>Tiempo</t>
  </si>
  <si>
    <t>PAt= (FR- FE)</t>
  </si>
  <si>
    <t>% Var = (PAf-PAi)/(PAi)</t>
  </si>
  <si>
    <t>Costo por Kilómetro</t>
  </si>
  <si>
    <t>Costo del transporte por cada kilómetro recorrido</t>
  </si>
  <si>
    <t>• Costo total del transporte (CT)  
• Kilómetros recorridos para entrega (K)</t>
  </si>
  <si>
    <t>Pesos/Km</t>
  </si>
  <si>
    <t>CKt= CT/K</t>
  </si>
  <si>
    <t>% Var = (CKf-CKi)/Cki</t>
  </si>
  <si>
    <t>Desempeño del proveedor (DP).</t>
  </si>
  <si>
    <t>Califica el desempeño de cada proveedor.</t>
  </si>
  <si>
    <t>• Número de entregas que no cumplen con los criterios de aceptación (NED).
• Número total de entregas hechas por el proovedor (E).</t>
  </si>
  <si>
    <t>DPt = (NED / E)*100%</t>
  </si>
  <si>
    <t>% Var = (DPf-DPi)/DPi</t>
  </si>
  <si>
    <t>Entregas a tiempo (ET).</t>
  </si>
  <si>
    <t>Proporción de pedidos que cumplen en tiempo, con respecto al total de pedidos entregados.</t>
  </si>
  <si>
    <t>• Pedidos que cumplen en tiempo.
• Total de pedidos entregados.</t>
  </si>
  <si>
    <t>Proporción</t>
  </si>
  <si>
    <t>ETt = (Pedidos en tiempo)/(Total de pedidos)</t>
  </si>
  <si>
    <t>% Var = (ETf-ETi)/ETi</t>
  </si>
  <si>
    <t>Costo de transporte</t>
  </si>
  <si>
    <t>Calcula el peso del transporte en el valor de ventas.  Puede ser total o referirse a aprovisionamiento o distribución.</t>
  </si>
  <si>
    <t>• Costo Transporte (CT)
• Ventas (V)</t>
  </si>
  <si>
    <t>CTRt= (CT/V)*100</t>
  </si>
  <si>
    <t>% Var = (CTRf-CTRi)/CTRi</t>
  </si>
  <si>
    <t>Nivel de servicio (NS).</t>
  </si>
  <si>
    <t>• Pedidos perfectos, que cumplen en calidad, cantidad y tiempo.
• Total de pedidos entregados.</t>
  </si>
  <si>
    <t>NS=(Pedidos perfectos)/(Total de pedidos)</t>
  </si>
  <si>
    <t>((NS2-NS19/NS1)*100</t>
  </si>
  <si>
    <t>Productividad en volumen movido</t>
  </si>
  <si>
    <t>Identifica cuanto tiempo se requiere para mover una unidad de producto</t>
  </si>
  <si>
    <t>• Unidades de producto movidas (P)
• Tiempo trabajado (T)</t>
  </si>
  <si>
    <t>PVMt= P/T</t>
  </si>
  <si>
    <t>% Var = (PVMf - PVMi)/PVMi</t>
  </si>
  <si>
    <t>Proceso optimizados a través de la automatización</t>
  </si>
  <si>
    <t>Eliminación de procesos manuales: papel, otros.</t>
  </si>
  <si>
    <t>• No. Procesos automatizados - PA
• No. Total de procesos según el VSM- P</t>
  </si>
  <si>
    <t>AUT= (PA / P)*100</t>
  </si>
  <si>
    <t>((AUT2-AUT1)/AUT1)*100</t>
  </si>
  <si>
    <t>Reducción de Costos de adquisición  de clientes (B2C)</t>
  </si>
  <si>
    <t xml:space="preserve">Inversión para conseguir un nuevo cliente </t>
  </si>
  <si>
    <t>• Costos de adquisición de clientes - CAC
• Clientes nuevos - CN</t>
  </si>
  <si>
    <t xml:space="preserve">Pesos X cliente </t>
  </si>
  <si>
    <t>CACN = CAC / CN</t>
  </si>
  <si>
    <t>((CACN2-CACN1)/CACN1)*100</t>
  </si>
  <si>
    <t>•No. Clientes potenciales - CP 
•No. Cierre de ventas  - CV</t>
  </si>
  <si>
    <t xml:space="preserve">Porcentaje </t>
  </si>
  <si>
    <t>((TV2-TV1)/TV1)*100</t>
  </si>
  <si>
    <t>Net Promoter Scope</t>
  </si>
  <si>
    <t xml:space="preserve">Lealtad de los clientes
Según encuestas sobre disposición de recomendar empresa (1 - 10):
• % Promotores (9 - 10)
• % Pasivos (7 - 8)
• % Detractores (0 - 6)
O lo que corresponda a la escala usada en la empresa </t>
  </si>
  <si>
    <t xml:space="preserve">
• % Promotores (9 - 10) - P
• % Detractores (0 - 6) - D</t>
  </si>
  <si>
    <t>NPS = P - D</t>
  </si>
  <si>
    <t>((NPS2-NPS1)/NPS1)*100</t>
  </si>
  <si>
    <t>Colaboraciones internas</t>
  </si>
  <si>
    <t>Colaboración e integración entre áreas de la empresa a través de sistemas de información</t>
  </si>
  <si>
    <t>• Número áreas con información integrada - AII
• Número áreas de la empresa - TA</t>
  </si>
  <si>
    <t>CI = (AII/ TA)*100</t>
  </si>
  <si>
    <t>((CI2-CI1)/CI1)*100</t>
  </si>
  <si>
    <t>Formación del personal para digitalización</t>
  </si>
  <si>
    <t>Capital Humano digital.</t>
  </si>
  <si>
    <t>• Horas de formación hacia la Transformación Digital - HF
• Total de horas laboradas - HL</t>
  </si>
  <si>
    <t>FTD = (HF/HL)*100</t>
  </si>
  <si>
    <t>((FTD2-FTD1)/FTD1)*100</t>
  </si>
  <si>
    <t>Participación de colaboradores</t>
  </si>
  <si>
    <t>Incremento de colaboradores de la empresa que se benefician del uso de Sistemas de Información (SI)</t>
  </si>
  <si>
    <t>• Colaboradores que se benefician de Sistemas de Información  (CSI)
• Total de colaboradores de la empresa (TC)</t>
  </si>
  <si>
    <t>PC= (CSI / TC)*100</t>
  </si>
  <si>
    <t>((PC2-PC1)/PC1)*100</t>
  </si>
  <si>
    <t>Clientes en canales digitales</t>
  </si>
  <si>
    <t>Aumento en participación del cliente en canales digitales</t>
  </si>
  <si>
    <t>• No. Clientes en canales digitales - CCD
• No. Clientes activos - CA</t>
  </si>
  <si>
    <t>CD = (CCD / CA)*100</t>
  </si>
  <si>
    <t>((CD2-CD1)/CD1)*100</t>
  </si>
  <si>
    <t>Clientes omnicanales</t>
  </si>
  <si>
    <t>Gestión integral de canales con los clientes</t>
  </si>
  <si>
    <t>• Clientes que usan al menos 3 canales (C3C)
• Total de Clientes (TC)</t>
  </si>
  <si>
    <t>CO = (C3C / TC)*100</t>
  </si>
  <si>
    <t>((CO2-CO1)/CO1)*100</t>
  </si>
  <si>
    <t>Inversión en tecnología</t>
  </si>
  <si>
    <t>Tasa de crecimiento de inversión en Sistemas de Información y Tecnología.</t>
  </si>
  <si>
    <t>• Inversión en TI en el año t. - ITt
• Inversión en TI en el año t-1. - ITt-1</t>
  </si>
  <si>
    <t>IT = ((Itt- ITt-1) /ITt-1))*100</t>
  </si>
  <si>
    <t>((IT2-IT1)/IT1)*100</t>
  </si>
  <si>
    <t>% Desperdicios (D)</t>
  </si>
  <si>
    <t>Se refiere al % de materia prima que no se transforma en producto</t>
  </si>
  <si>
    <t>* Volumen de producción (P)
* Volumen de materia prima consumida (MP)
* Volumen de desperdicios (Vol. D)</t>
  </si>
  <si>
    <t>Dt=(Vol.Dt/MPt)*100
,ó;
Dt= (1- (P/MP))*100</t>
  </si>
  <si>
    <t>% Var = (Df-Di)/Df</t>
  </si>
  <si>
    <t>Generación de residuos (GR)</t>
  </si>
  <si>
    <t>Cuantifica la generación de residuos por parte de la empresa</t>
  </si>
  <si>
    <t>* Volumen de residuos generados por la empresa (Vol. GR)
* Volumen de producción (P)</t>
  </si>
  <si>
    <t>Kgs/Unidad</t>
  </si>
  <si>
    <t>GRt= Vol. GRt/Pt</t>
  </si>
  <si>
    <t>% Var = (GRf - GRi)/Gri</t>
  </si>
  <si>
    <t>Reciclaje "R"</t>
  </si>
  <si>
    <t>Impacto generado debido a la reutilización de materiales que se consideran residuos o sobrantes.</t>
  </si>
  <si>
    <t>• Cantidad reutilizada/reciclada de residuos en el tiempo t (DR).
* Volumen de residuos (Vol.GR)</t>
  </si>
  <si>
    <t>Rt = (DRt/Vol.GRt)*100</t>
  </si>
  <si>
    <t>% Var = (Rf- Ri)/Ri</t>
  </si>
  <si>
    <t>Generación de residuos peligrosos RESPEL</t>
  </si>
  <si>
    <t>Cuantifica la generación Residuos Peligrosos por parte de la Empresa</t>
  </si>
  <si>
    <t>* Volumen de RESPEL (Vol. RESPEL)
* Volumen de producción (P)</t>
  </si>
  <si>
    <t>RESPELt= Vol. RESPELt/Pt</t>
  </si>
  <si>
    <t>% Var  = (RESPELf- RESPELi)/RESPELi</t>
  </si>
  <si>
    <t>Generación de Residuos de Aparatos Eléctricos y Electrónicos (RAEES)</t>
  </si>
  <si>
    <t>Cuantifica la generación Residuos de Aparatos Eléctricos y Eléctronicos por parte de la Empresa</t>
  </si>
  <si>
    <t>* Volumen de RAEES
* Volumen de producción (P)</t>
  </si>
  <si>
    <t>RAEESt = Vol. RAEESt/Pt</t>
  </si>
  <si>
    <t>% Var  = (RAEESf- RAEESi)/RAEESi</t>
  </si>
  <si>
    <t>Vertimientos (V)</t>
  </si>
  <si>
    <t>Cuantifica la generación de Vertimientos por parte de la Empresa</t>
  </si>
  <si>
    <t>* Volumen vertimientos (VV)
Volumen de producción (P)</t>
  </si>
  <si>
    <t>M3/Unidad</t>
  </si>
  <si>
    <t>Vt=VVt/Pt</t>
  </si>
  <si>
    <t>% Var = (Vf- Vi)/(Vi)</t>
  </si>
  <si>
    <t>Gases de efecto invernadero</t>
  </si>
  <si>
    <t>Permite establecer las emisiones de CO2 equivalente por parte de la empresa. 
Emisiones de CO2 (Netas)/P
* Las emisiones netas consideran la captura de CO2 por parte de compensaciones vegetales</t>
  </si>
  <si>
    <t>* Kilogramos emitidos de CO2 por año. (CO2)
* Volumen de producción (P)</t>
  </si>
  <si>
    <t>ECO2t = (CO2/P)</t>
  </si>
  <si>
    <t>% Var = (ECO2f - ECO2i)/(ECO2i)</t>
  </si>
  <si>
    <t>Inversiones en biodiversidad (IB)</t>
  </si>
  <si>
    <t>Inversiones de capital  para el mantenimiento del ecosistema</t>
  </si>
  <si>
    <t>* Inversiones de capital para el mantenimiento del ecosistema (CAPEX Ambiental)</t>
  </si>
  <si>
    <t>Dinero</t>
  </si>
  <si>
    <t>CAPEX Ambt</t>
  </si>
  <si>
    <t>% Var = (IBf- IBi)/Ibi</t>
  </si>
  <si>
    <t>RAZON SOCIAL</t>
  </si>
  <si>
    <t>CAMARA DE COMERCIO</t>
  </si>
  <si>
    <t>NOMBRE DE GESTOR</t>
  </si>
  <si>
    <t>Tiempo de Ciclo 1</t>
  </si>
  <si>
    <t>Tiempo de Ciclo 2</t>
  </si>
  <si>
    <t>Tiempo de Ciclo 3</t>
  </si>
  <si>
    <t>Capacidad de reducción de costos 2</t>
  </si>
  <si>
    <t>Productividad laboral 2</t>
  </si>
  <si>
    <t>Participación 2</t>
  </si>
  <si>
    <t>Tiempo de cargue y descargue 2</t>
  </si>
  <si>
    <t>Tiempo de cargue y descargue 3</t>
  </si>
  <si>
    <t>Tiempo de cargue y descargue 4</t>
  </si>
  <si>
    <t>Tiempo de abastecimiento y distribución 2</t>
  </si>
  <si>
    <t xml:space="preserve">Ecodiseño y ciclo de vida del producto
</t>
  </si>
  <si>
    <t>Línea de Intervención</t>
  </si>
  <si>
    <t>Hallazgos</t>
  </si>
  <si>
    <t xml:space="preserve">Resultado Diagnóstico </t>
  </si>
  <si>
    <t xml:space="preserve">Linea de intervención </t>
  </si>
  <si>
    <t xml:space="preserve">Telefono Responsable del proyecto </t>
  </si>
  <si>
    <t xml:space="preserve">Telefono del responsable del proyecto </t>
  </si>
  <si>
    <t xml:space="preserve">Correo electrónico del responsable del proyecto </t>
  </si>
  <si>
    <t>Nit extensionista</t>
  </si>
  <si>
    <t>naturaleza jurídica</t>
  </si>
  <si>
    <t xml:space="preserve">Sistentación de la selección </t>
  </si>
  <si>
    <t>Actividades Plan de Trabajo 1</t>
  </si>
  <si>
    <t>Actividades Plan de Trabajo 2</t>
  </si>
  <si>
    <t>Actividades Plan de Trabajo 3</t>
  </si>
  <si>
    <t>Actividades Plan de Trabajo 4</t>
  </si>
  <si>
    <t>Actividades Plan de Trabajo 5</t>
  </si>
  <si>
    <t>Actividades Plan de Trabajo 6</t>
  </si>
  <si>
    <t>Actividades Plan de Trabajo 7</t>
  </si>
  <si>
    <t>Actividades Plan de Trabajo 8</t>
  </si>
  <si>
    <t>Actividades Plan de Trabajo 9</t>
  </si>
  <si>
    <t>Actividades Plan de Trabajo 10</t>
  </si>
  <si>
    <t>Acciones propuestas y realizadas 1</t>
  </si>
  <si>
    <t>Acciones propuestas y realizadas 2</t>
  </si>
  <si>
    <t>Acciones propuestas y realizadas 3</t>
  </si>
  <si>
    <t>Acciones propuestas y realizadas 4</t>
  </si>
  <si>
    <t>Acciones propuestas y realizadas 5</t>
  </si>
  <si>
    <t>Acciones propuestas y realizadas 6</t>
  </si>
  <si>
    <t>Logros y resultados alcanzados 1</t>
  </si>
  <si>
    <t>Logros y resultados alcanzados 2</t>
  </si>
  <si>
    <t>Logros y resultados alcanzados 3</t>
  </si>
  <si>
    <t>Logros y resultados alcanzados 4</t>
  </si>
  <si>
    <t>Logros y resultados alcanzados 5</t>
  </si>
  <si>
    <t>Logros y resultados alcanzados 6</t>
  </si>
  <si>
    <t xml:space="preserve">Impactos Cualitativos </t>
  </si>
  <si>
    <t>Indicadores Fijo 1</t>
  </si>
  <si>
    <t>Línea Base</t>
  </si>
  <si>
    <t>Periodo Linea Base</t>
  </si>
  <si>
    <t>Meta</t>
  </si>
  <si>
    <t>Medición Intermedia</t>
  </si>
  <si>
    <t>Medición Final</t>
  </si>
  <si>
    <t>Periodo Medición de Salida</t>
  </si>
  <si>
    <t>Variación</t>
  </si>
  <si>
    <t>Describa la informacion de la medición de salida por cada indicador (periodo de medición)</t>
  </si>
  <si>
    <t>Indicadores Fijo 2</t>
  </si>
  <si>
    <t>Fórmula 2</t>
  </si>
  <si>
    <t>Línea Base 2</t>
  </si>
  <si>
    <t>Periodo Línea Base</t>
  </si>
  <si>
    <t>Medición Intermedia 2</t>
  </si>
  <si>
    <t>Medición Final 2</t>
  </si>
  <si>
    <t>Variación 2</t>
  </si>
  <si>
    <t>Describa la informacion de la medición de salida por cada indicador (periodo de medición) 2</t>
  </si>
  <si>
    <t>Indicadores 3</t>
  </si>
  <si>
    <t>Fórmula 3</t>
  </si>
  <si>
    <t>Línea Base 3</t>
  </si>
  <si>
    <t>Meta 3</t>
  </si>
  <si>
    <t>Medición Intermedia 3</t>
  </si>
  <si>
    <t>Medición Final 3</t>
  </si>
  <si>
    <t>Variación 3</t>
  </si>
  <si>
    <t>Describa la informacion de la medición de salida por cada indicador (periodo de medición) 3</t>
  </si>
  <si>
    <t>Indicadores 4</t>
  </si>
  <si>
    <t>Fórmula 4</t>
  </si>
  <si>
    <t>Línea Base 4</t>
  </si>
  <si>
    <t>Meta 4</t>
  </si>
  <si>
    <t>Medición Intermedia 4</t>
  </si>
  <si>
    <t>Medición Final 4</t>
  </si>
  <si>
    <t>Variación 4</t>
  </si>
  <si>
    <t xml:space="preserve">Describa la informacion de la medición de salida por cada indicador (periodo de medición) 4 </t>
  </si>
  <si>
    <t>Indicadores 5</t>
  </si>
  <si>
    <t>Fórmula 5</t>
  </si>
  <si>
    <t>Línea Base 5</t>
  </si>
  <si>
    <t>Meta 5</t>
  </si>
  <si>
    <t>Medición Intermedia 5</t>
  </si>
  <si>
    <t>Medición Final 5</t>
  </si>
  <si>
    <t>Variación 5</t>
  </si>
  <si>
    <t>Describa la informacion de la medición de salida por cada indicador (periodo de medición) 5</t>
  </si>
  <si>
    <t>Crecimiento de las ventas 2016</t>
  </si>
  <si>
    <t>Crecimiento de las ventas 2017</t>
  </si>
  <si>
    <t>Crecimiento de las ventas 2018</t>
  </si>
  <si>
    <t>Crecimiento de las ventas 2019</t>
  </si>
  <si>
    <t>Crecimiento de las ventas 2020</t>
  </si>
  <si>
    <t>Gestión comercial +1 año</t>
  </si>
  <si>
    <t>Gestión comercial +2 año</t>
  </si>
  <si>
    <t>Gestión comercial +3 año</t>
  </si>
  <si>
    <t>Quién se comunica directamente con los clientes +1 año</t>
  </si>
  <si>
    <t>Quién se comunica directamente con los clientes +2 año</t>
  </si>
  <si>
    <t>Quién se comunica directamente con los clientes +3 año</t>
  </si>
  <si>
    <t>Cómo se fijan los precios +1 año</t>
  </si>
  <si>
    <t>Cómo se fijan los precios +2 año</t>
  </si>
  <si>
    <t>Cómo se fijan los precios +3 año</t>
  </si>
  <si>
    <t>Crecimiento de las ventas +1 año</t>
  </si>
  <si>
    <t>Crecimiento de las ventas +2 año</t>
  </si>
  <si>
    <t>Crecimiento de las ventas +3 año</t>
  </si>
  <si>
    <t>Rentabilidad por cliente +1 año</t>
  </si>
  <si>
    <t>Rentabilidad por cliente +2 año</t>
  </si>
  <si>
    <t>Rentabilidad por cliente +3 año</t>
  </si>
  <si>
    <t>Valor generado por los clientes +1 año</t>
  </si>
  <si>
    <t>Valor generado por los clientes +2 año</t>
  </si>
  <si>
    <t>Valor generado por los clientes +3 año</t>
  </si>
  <si>
    <t>Plan de Mercadeo y Ventas +1 año</t>
  </si>
  <si>
    <t>Plan de Mercadeo y Ventas +2 año</t>
  </si>
  <si>
    <t>Plan de Mercadeo y Ventas +3 año</t>
  </si>
  <si>
    <t>Productividad operacional +1 año</t>
  </si>
  <si>
    <t>Productividad operacional +2 año</t>
  </si>
  <si>
    <t>Productividad operacional +3 año</t>
  </si>
  <si>
    <t>Mejoramiento de los procesos +1 año</t>
  </si>
  <si>
    <t>Mejoramiento de los procesos +2 año</t>
  </si>
  <si>
    <t>Mejoramiento de los procesos +3 año</t>
  </si>
  <si>
    <t>Tiempo de Ciclo 1 +1 año</t>
  </si>
  <si>
    <t>Tiempo de Ciclo 1 +2 año</t>
  </si>
  <si>
    <t>Tiempo de Ciclo 1 +3 año</t>
  </si>
  <si>
    <t>Tiempo de Ciclo 2 +1 año</t>
  </si>
  <si>
    <t>Tiempo de Ciclo 2 +2 año</t>
  </si>
  <si>
    <t>Tiempo de Ciclo 2 +3 año</t>
  </si>
  <si>
    <t>Tiempo de Ciclo 3 +1 año</t>
  </si>
  <si>
    <t>Tiempo de Ciclo 3 +2 año</t>
  </si>
  <si>
    <t>Tiempo de Ciclo 3 +3 año</t>
  </si>
  <si>
    <t>Capacidad de reducción de costos +1 año</t>
  </si>
  <si>
    <t>Capacidad de reducción de costos +2 año</t>
  </si>
  <si>
    <t>Capacidad de reducción de costos +3 año</t>
  </si>
  <si>
    <t>Capacidad de reducción de costos 2 +1 año</t>
  </si>
  <si>
    <t>Capacidad de reducción de costos 2 +2 año</t>
  </si>
  <si>
    <t>Capacidad de reducción de costos 2 +3 año</t>
  </si>
  <si>
    <t>Nivel de variación de los costos +1 año</t>
  </si>
  <si>
    <t>Nivel de variación de los costos +2 año</t>
  </si>
  <si>
    <t>Nivel de variación de los costos +3 año</t>
  </si>
  <si>
    <t>Eficiencia General de los Equipos (OEE) +1 año</t>
  </si>
  <si>
    <t>Eficiencia General de los Equipos (OEE) +2 año</t>
  </si>
  <si>
    <t>Eficiencia General de los Equipos (OEE) +3 año</t>
  </si>
  <si>
    <t>Costos de improductividad /  No calidad +1 año</t>
  </si>
  <si>
    <t>Costos de improductividad /  No calidad +2 año</t>
  </si>
  <si>
    <t>Costos de improductividad /  No calidad +3 año</t>
  </si>
  <si>
    <t>Con qué frecuencia se celebran Eventos Kaizen +1 año</t>
  </si>
  <si>
    <t>Con qué frecuencia se celebran Eventos Kaizen +2 año</t>
  </si>
  <si>
    <t>Con qué frecuencia se celebran Eventos Kaizen +3 año</t>
  </si>
  <si>
    <t>Mantenimiento +1 año</t>
  </si>
  <si>
    <t>Mantenimiento +2 año</t>
  </si>
  <si>
    <t>Mantenimiento +3 año</t>
  </si>
  <si>
    <t>Nivel de mantenimiento  preventivo +1 año</t>
  </si>
  <si>
    <t>Nivel de mantenimiento  preventivo +2 año</t>
  </si>
  <si>
    <t>Nivel de mantenimiento  preventivo +3 año</t>
  </si>
  <si>
    <t>Estado de planta y oficinas +1 año</t>
  </si>
  <si>
    <t>Estado de planta y oficinas +2 año</t>
  </si>
  <si>
    <t>Estado de planta y oficinas +3 año</t>
  </si>
  <si>
    <t>Nivel de utilización del espacio de la planta y oficinas +1 año</t>
  </si>
  <si>
    <t>Nivel de utilización del espacio de la planta y oficinas +2 año</t>
  </si>
  <si>
    <t>Nivel de utilización del espacio de la planta y oficinas +3 año</t>
  </si>
  <si>
    <t>Qué tanto se han implementado las 5S +1 año</t>
  </si>
  <si>
    <t>Qué tanto se han implementado las 5S +2 año</t>
  </si>
  <si>
    <t>Qué tanto se han implementado las 5S +3 año</t>
  </si>
  <si>
    <t>Setups - Puesta a punto de los equipos +1 año</t>
  </si>
  <si>
    <t>Setups - Puesta a punto de los equipos +2 año</t>
  </si>
  <si>
    <t>Setups - Puesta a punto de los equipos +3 año</t>
  </si>
  <si>
    <t>Tiempo de alistamiento +1 año</t>
  </si>
  <si>
    <t>Tiempo de alistamiento +2 año</t>
  </si>
  <si>
    <t>Tiempo de alistamiento +3 año</t>
  </si>
  <si>
    <t>Aprovisionamiento e inventarios +1 año</t>
  </si>
  <si>
    <t>Aprovisionamiento e inventarios +2 año</t>
  </si>
  <si>
    <t>Aprovisionamiento e inventarios +3 año</t>
  </si>
  <si>
    <t>Nivel de rotación +1 año</t>
  </si>
  <si>
    <t>Nivel de rotación +2 año</t>
  </si>
  <si>
    <t>Nivel de rotación +3 año</t>
  </si>
  <si>
    <t>Cantidad de proveedores estratégicos o aliados por tipo de materia prima +1 año</t>
  </si>
  <si>
    <t>Cantidad de proveedores estratégicos o aliados por tipo de materia prima +2 año</t>
  </si>
  <si>
    <t>Cantidad de proveedores estratégicos o aliados por tipo de materia prima +3 año</t>
  </si>
  <si>
    <t>Nivel de reabastecimiento +1 año</t>
  </si>
  <si>
    <t>Nivel de reabastecimiento +2 año</t>
  </si>
  <si>
    <t>Nivel de reabastecimiento +3 año</t>
  </si>
  <si>
    <t>Nivel del Pull System +1 año</t>
  </si>
  <si>
    <t>Nivel del Pull System +2 año</t>
  </si>
  <si>
    <t>Nivel del Pull System +3 año</t>
  </si>
  <si>
    <t>Frecuencia del aprovisionamiento +1 año</t>
  </si>
  <si>
    <t>Frecuencia del aprovisionamiento +2 año</t>
  </si>
  <si>
    <t>Frecuencia del aprovisionamiento +3 año</t>
  </si>
  <si>
    <t>Productividad laboral +1 año</t>
  </si>
  <si>
    <t>Productividad laboral +2 año</t>
  </si>
  <si>
    <t>Productividad laboral +3 año</t>
  </si>
  <si>
    <t>Productividad laboral 2 +1 año</t>
  </si>
  <si>
    <t>Productividad laboral 2 +2 año</t>
  </si>
  <si>
    <t>Productividad laboral 2 +3 año</t>
  </si>
  <si>
    <t>Participación +1 año</t>
  </si>
  <si>
    <t>Participación +2 año</t>
  </si>
  <si>
    <t>Participación +3 año</t>
  </si>
  <si>
    <t>Participación 2 +1 año</t>
  </si>
  <si>
    <t>Participación 2 +2 año</t>
  </si>
  <si>
    <t>Participación 2 +3 año</t>
  </si>
  <si>
    <t>Índice de rotación de personal +1 año</t>
  </si>
  <si>
    <t>Índice de rotación de personal +2 año</t>
  </si>
  <si>
    <t>Índice de rotación de personal +3 año</t>
  </si>
  <si>
    <t>Índice de ausentismo +1 año</t>
  </si>
  <si>
    <t>Índice de ausentismo +2 año</t>
  </si>
  <si>
    <t>Índice de ausentismo +3 año</t>
  </si>
  <si>
    <t>Nivel  de horas extras +1 año</t>
  </si>
  <si>
    <t>Nivel  de horas extras +2 año</t>
  </si>
  <si>
    <t>Nivel  de horas extras +3 año</t>
  </si>
  <si>
    <t>Entrenamiento +1 año</t>
  </si>
  <si>
    <t>Entrenamiento +2 año</t>
  </si>
  <si>
    <t>Entrenamiento +3 año</t>
  </si>
  <si>
    <t>Accidentalidad +1 año</t>
  </si>
  <si>
    <t>Accidentalidad +2 año</t>
  </si>
  <si>
    <t>Accidentalidad +3 año</t>
  </si>
  <si>
    <t>Gestión del riego de accidentalidad +1 año</t>
  </si>
  <si>
    <t>Gestión del riego de accidentalidad +2 año</t>
  </si>
  <si>
    <t>Gestión del riego de accidentalidad +3 año</t>
  </si>
  <si>
    <t>Eficiencia General de las Personas (EGP) +1 año</t>
  </si>
  <si>
    <t>Eficiencia General de las Personas (EGP) +2 año</t>
  </si>
  <si>
    <t>Eficiencia General de las Personas (EGP) +3 año</t>
  </si>
  <si>
    <t>Trabajo estandarizado +1 año</t>
  </si>
  <si>
    <t>Trabajo estandarizado +2 año</t>
  </si>
  <si>
    <t>Trabajo estandarizado +3 año</t>
  </si>
  <si>
    <t>Desarrollo por competencias y polivalencia +1 año</t>
  </si>
  <si>
    <t>Desarrollo por competencias y polivalencia +2 año</t>
  </si>
  <si>
    <t>Desarrollo por competencias y polivalencia +3 año</t>
  </si>
  <si>
    <t>Políticas de género +1 año</t>
  </si>
  <si>
    <t>Políticas de género +2 año</t>
  </si>
  <si>
    <t>Políticas de género +3 año</t>
  </si>
  <si>
    <t>Eficiencia energética +1 año</t>
  </si>
  <si>
    <t>Eficiencia energética +2 año</t>
  </si>
  <si>
    <t>Eficiencia energética +3 año</t>
  </si>
  <si>
    <t>Comparación de los costos de energía con los costos totales de producción +1 año</t>
  </si>
  <si>
    <t>Comparación de los costos de energía con los costos totales de producción +2 año</t>
  </si>
  <si>
    <t>Comparación de los costos de energía con los costos totales de producción +3 año</t>
  </si>
  <si>
    <t>Implementación de medidas de eficiencia energética +1 año</t>
  </si>
  <si>
    <t>Implementación de medidas de eficiencia energética +2 año</t>
  </si>
  <si>
    <t>Implementación de medidas de eficiencia energética +3 año</t>
  </si>
  <si>
    <t>Medición del desempeño energético +1 año</t>
  </si>
  <si>
    <t>Medición del desempeño energético +2 año</t>
  </si>
  <si>
    <t>Medición del desempeño energético +3 año</t>
  </si>
  <si>
    <t>Valoración técnica y referenciación con mejores practicas (Best Practices y Benchmarking) +1 año</t>
  </si>
  <si>
    <t>Valoración técnica y referenciación con mejores practicas (Best Practices y Benchmarking) +2 año</t>
  </si>
  <si>
    <t>Valoración técnica y referenciación con mejores practicas (Best Practices y Benchmarking) +3 año</t>
  </si>
  <si>
    <t>Objetivos y metas de desempeño +1 año</t>
  </si>
  <si>
    <t>Objetivos y metas de desempeño +2 año</t>
  </si>
  <si>
    <t>Objetivos y metas de desempeño +3 año</t>
  </si>
  <si>
    <t>Plan de Acción para el  mejoramiento +1 año</t>
  </si>
  <si>
    <t>Plan de Acción para el  mejoramiento +2 año</t>
  </si>
  <si>
    <t>Plan de Acción para el  mejoramiento +3 año</t>
  </si>
  <si>
    <t>Implementación de los Planes de Acción +1 año</t>
  </si>
  <si>
    <t>Implementación de los Planes de Acción +2 año</t>
  </si>
  <si>
    <t>Implementación de los Planes de Acción +3 año</t>
  </si>
  <si>
    <t>Documentación y análisis +1 año</t>
  </si>
  <si>
    <t>Documentación y análisis +2 año</t>
  </si>
  <si>
    <t>Documentación y análisis +3 año</t>
  </si>
  <si>
    <t>Compromiso con la Eficiencia Energética EEn. +1 año</t>
  </si>
  <si>
    <t>Compromiso con la Eficiencia Energética EEn. +2 año</t>
  </si>
  <si>
    <t>Compromiso con la Eficiencia Energética EEn. +3 año</t>
  </si>
  <si>
    <t>Gestión de la calidad +1 año</t>
  </si>
  <si>
    <t>Gestión de la calidad +2 año</t>
  </si>
  <si>
    <t>Gestión de la calidad +3 año</t>
  </si>
  <si>
    <t>Certificaciones de calidad +1 año</t>
  </si>
  <si>
    <t>Certificaciones de calidad +2 año</t>
  </si>
  <si>
    <t>Certificaciones de calidad +3 año</t>
  </si>
  <si>
    <t>Gestión de procesos +1 año</t>
  </si>
  <si>
    <t>Gestión de procesos +2 año</t>
  </si>
  <si>
    <t>Gestión de procesos +3 año</t>
  </si>
  <si>
    <t>Equipo de Calidad +1 año</t>
  </si>
  <si>
    <t>Equipo de Calidad +2 año</t>
  </si>
  <si>
    <t>Equipo de Calidad +3 año</t>
  </si>
  <si>
    <t>Estándares de calidad +1 año</t>
  </si>
  <si>
    <t>Estándares de calidad +2 año</t>
  </si>
  <si>
    <t>Estándares de calidad +3 año</t>
  </si>
  <si>
    <t>Satisfacción del cliente +1 año</t>
  </si>
  <si>
    <t>Satisfacción del cliente +2 año</t>
  </si>
  <si>
    <t>Satisfacción del cliente +3 año</t>
  </si>
  <si>
    <t>Desarrollo y sofisticación de producto +1 año</t>
  </si>
  <si>
    <t>Desarrollo y sofisticación de producto +2 año</t>
  </si>
  <si>
    <t>Desarrollo y sofisticación de producto +3 año</t>
  </si>
  <si>
    <t>Desarrollo de nuevos productos o servicios +1 año</t>
  </si>
  <si>
    <t>Desarrollo de nuevos productos o servicios +2 año</t>
  </si>
  <si>
    <t>Desarrollo de nuevos productos o servicios +3 año</t>
  </si>
  <si>
    <t>Rentabilidad de la inversión en los nuevos productos o servicios +1 año</t>
  </si>
  <si>
    <t>Rentabilidad de la inversión en los nuevos productos o servicios +2 año</t>
  </si>
  <si>
    <t>Rentabilidad de la inversión en los nuevos productos o servicios +3 año</t>
  </si>
  <si>
    <t>Agilidad +1 año</t>
  </si>
  <si>
    <t>Agilidad +2 año</t>
  </si>
  <si>
    <t>Agilidad +3 año</t>
  </si>
  <si>
    <t>Personal dedicado a I+D+i +1 año</t>
  </si>
  <si>
    <t>Personal dedicado a I+D+i +2 año</t>
  </si>
  <si>
    <t>Personal dedicado a I+D+i +3 año</t>
  </si>
  <si>
    <t>Quién hace el desarrollo de nuevos servicios o productos +1 año</t>
  </si>
  <si>
    <t>Quién hace el desarrollo de nuevos servicios o productos +2 año</t>
  </si>
  <si>
    <t>Quién hace el desarrollo de nuevos servicios o productos +3 año</t>
  </si>
  <si>
    <t>Se considera la capacidad del proceso en el desarrollo de nuevos productos o servicios +1 año</t>
  </si>
  <si>
    <t>Se considera la capacidad del proceso en el desarrollo de nuevos productos o servicios +2 año</t>
  </si>
  <si>
    <t>Se considera la capacidad del proceso en el desarrollo de nuevos productos o servicios +3 año</t>
  </si>
  <si>
    <t>Articulación +1 año</t>
  </si>
  <si>
    <t>Articulación +2 año</t>
  </si>
  <si>
    <t>Articulación +3 año</t>
  </si>
  <si>
    <t>Inversión en I+D+i 
(Investigación, desarrollo e innovación) +1 año</t>
  </si>
  <si>
    <t>Inversión en I+D+i 
(Investigación, desarrollo e innovación) +2 año</t>
  </si>
  <si>
    <t>Inversión en I+D+i 
(Investigación, desarrollo e innovación) +3 año</t>
  </si>
  <si>
    <t>Portafolio de proyectos de innovación +1 año</t>
  </si>
  <si>
    <t>Portafolio de proyectos de innovación +2 año</t>
  </si>
  <si>
    <t>Portafolio de proyectos de innovación +3 año</t>
  </si>
  <si>
    <t>Propiedad intelectual y mecanismos de protección. +1 año</t>
  </si>
  <si>
    <t>Propiedad intelectual y mecanismos de protección. +2 año</t>
  </si>
  <si>
    <t>Propiedad intelectual y mecanismos de protección. +3 año</t>
  </si>
  <si>
    <t>Transformación digital +1 año</t>
  </si>
  <si>
    <t>Transformación digital +2 año</t>
  </si>
  <si>
    <t>Transformación digital +3 año</t>
  </si>
  <si>
    <t>Visión +1 año</t>
  </si>
  <si>
    <t>Visión +2 año</t>
  </si>
  <si>
    <t>Visión +3 año</t>
  </si>
  <si>
    <t>Personal +1 año</t>
  </si>
  <si>
    <t>Personal +2 año</t>
  </si>
  <si>
    <t>Personal +3 año</t>
  </si>
  <si>
    <t>Experiencia de   transformación digital del cliente +1 año</t>
  </si>
  <si>
    <t>Experiencia de   transformación digital del cliente +2 año</t>
  </si>
  <si>
    <t>Experiencia de   transformación digital del cliente +3 año</t>
  </si>
  <si>
    <t>Canales +1 año</t>
  </si>
  <si>
    <t>Canales +2 año</t>
  </si>
  <si>
    <t>Canales +3 año</t>
  </si>
  <si>
    <t>Innovación +1 año</t>
  </si>
  <si>
    <t>Innovación +2 año</t>
  </si>
  <si>
    <t>Innovación +3 año</t>
  </si>
  <si>
    <t>Inteligencia de Negocio +1 año</t>
  </si>
  <si>
    <t>Inteligencia de Negocio +2 año</t>
  </si>
  <si>
    <t>Inteligencia de Negocio +3 año</t>
  </si>
  <si>
    <t>Marketing +1 año</t>
  </si>
  <si>
    <t>Marketing +2 año</t>
  </si>
  <si>
    <t>Marketing +3 año</t>
  </si>
  <si>
    <t>Monetización virtual +1 año</t>
  </si>
  <si>
    <t>Monetización virtual +2 año</t>
  </si>
  <si>
    <t>Monetización virtual +3 año</t>
  </si>
  <si>
    <t>Compras de la empresa +1 año</t>
  </si>
  <si>
    <t>Compras de la empresa +2 año</t>
  </si>
  <si>
    <t>Compras de la empresa +3 año</t>
  </si>
  <si>
    <t>Gestión financiera y administrativa +1 año</t>
  </si>
  <si>
    <t>Gestión financiera y administrativa +2 año</t>
  </si>
  <si>
    <t>Gestión financiera y administrativa +3 año</t>
  </si>
  <si>
    <t>Gestión logística +1 año</t>
  </si>
  <si>
    <t>Gestión logística +2 año</t>
  </si>
  <si>
    <t>Gestión logística +3 año</t>
  </si>
  <si>
    <t>Costo logístico nacional +1 año</t>
  </si>
  <si>
    <t>Costo logístico nacional +2 año</t>
  </si>
  <si>
    <t>Costo logístico nacional +3 año</t>
  </si>
  <si>
    <t>Costo logístico comercio exterior +1 año</t>
  </si>
  <si>
    <t>Costo logístico comercio exterior +2 año</t>
  </si>
  <si>
    <t>Costo logístico comercio exterior +3 año</t>
  </si>
  <si>
    <t>Tiempo de cargue y descargue +1 año</t>
  </si>
  <si>
    <t>Tiempo de cargue y descargue +2 año</t>
  </si>
  <si>
    <t>Tiempo de cargue y descargue +3 año</t>
  </si>
  <si>
    <t>Tiempo de cargue y descargue 2 +1 año</t>
  </si>
  <si>
    <t>Tiempo de cargue y descargue 2 +2 año</t>
  </si>
  <si>
    <t>Tiempo de cargue y descargue 2 +3 año</t>
  </si>
  <si>
    <t>Tiempo de cargue y descargue 3 +1 año</t>
  </si>
  <si>
    <t>Tiempo de cargue y descargue 3 +2 año</t>
  </si>
  <si>
    <t>Tiempo de cargue y descargue 3 +3 año</t>
  </si>
  <si>
    <t>Tiempo de cargue y descargue 4 +1 año</t>
  </si>
  <si>
    <t>Tiempo de cargue y descargue 4 +2 año</t>
  </si>
  <si>
    <t>Tiempo de cargue y descargue 4 +3 año</t>
  </si>
  <si>
    <t>Tiempo de abastecimiento y distribución +1 año</t>
  </si>
  <si>
    <t>Tiempo de abastecimiento y distribución +2 año</t>
  </si>
  <si>
    <t>Tiempo de abastecimiento y distribución +3 año</t>
  </si>
  <si>
    <t>Tiempo de abastecimiento y distribución 2 +1 año</t>
  </si>
  <si>
    <t>Tiempo de abastecimiento y distribución 2 +2 año</t>
  </si>
  <si>
    <t>Tiempo de abastecimiento y distribución 2 +3 año</t>
  </si>
  <si>
    <t>Costos internos y externos de No-calidad +1 año</t>
  </si>
  <si>
    <t>Costos internos y externos de No-calidad +2 año</t>
  </si>
  <si>
    <t>Costos internos y externos de No-calidad +3 año</t>
  </si>
  <si>
    <t>Gestión de los costos totales de entrega +1 año</t>
  </si>
  <si>
    <t>Gestión de los costos totales de entrega +2 año</t>
  </si>
  <si>
    <t>Gestión de los costos totales de entrega +3 año</t>
  </si>
  <si>
    <t>Automatización de procesos logísticos +1 año</t>
  </si>
  <si>
    <t>Automatización de procesos logísticos +2 año</t>
  </si>
  <si>
    <t>Automatización de procesos logísticos +3 año</t>
  </si>
  <si>
    <t>Qué tan importante es el pronóstico para la planeación logística +1 año</t>
  </si>
  <si>
    <t>Qué tan importante es el pronóstico para la planeación logística +2 año</t>
  </si>
  <si>
    <t>Qué tan importante es el pronóstico para la planeación logística +3 año</t>
  </si>
  <si>
    <t>Cuál es el alcance de la participación del proveedor de bienes y servicios en los eventos Kaizen +1 año</t>
  </si>
  <si>
    <t>Cuál es el alcance de la participación del proveedor de bienes y servicios en los eventos Kaizen +2 año</t>
  </si>
  <si>
    <t>Cuál es el alcance de la participación del proveedor de bienes y servicios en los eventos Kaizen +3 año</t>
  </si>
  <si>
    <t>Cómo selecciona los proveedores +1 año</t>
  </si>
  <si>
    <t>Cómo selecciona los proveedores +2 año</t>
  </si>
  <si>
    <t>Cómo selecciona los proveedores +3 año</t>
  </si>
  <si>
    <t>Nivel de Servicio.
 Pedido perfecto +1 año</t>
  </si>
  <si>
    <t>Nivel de Servicio.
 Pedido perfecto +2 año</t>
  </si>
  <si>
    <t>Nivel de Servicio.
 Pedido perfecto +3 año</t>
  </si>
  <si>
    <t>Sostenibilidad ambiental +1 año</t>
  </si>
  <si>
    <t>Sostenibilidad ambiental +2 año</t>
  </si>
  <si>
    <t>Sostenibilidad ambiental +3 año</t>
  </si>
  <si>
    <t>Costos gestión residuos y vertimientos +1 año</t>
  </si>
  <si>
    <t>Costos gestión residuos y vertimientos +2 año</t>
  </si>
  <si>
    <t>Costos gestión residuos y vertimientos +3 año</t>
  </si>
  <si>
    <t>Eficiencia de recursos +1 año</t>
  </si>
  <si>
    <t>Eficiencia de recursos +2 año</t>
  </si>
  <si>
    <t>Eficiencia de recursos +3 año</t>
  </si>
  <si>
    <t>Compromiso ambiental +1 año</t>
  </si>
  <si>
    <t>Compromiso ambiental +2 año</t>
  </si>
  <si>
    <t>Compromiso ambiental +3 año</t>
  </si>
  <si>
    <t>Movilización de recursos financieros +1 año</t>
  </si>
  <si>
    <t>Movilización de recursos financieros +2 año</t>
  </si>
  <si>
    <t>Movilización de recursos financieros +3 año</t>
  </si>
  <si>
    <t>Análisis de la cadena de valor +1 año</t>
  </si>
  <si>
    <t>Análisis de la cadena de valor +2 año</t>
  </si>
  <si>
    <t>Análisis de la cadena de valor +3 año</t>
  </si>
  <si>
    <t>Ecodiseño y ciclo de vida del producto
+1 año</t>
  </si>
  <si>
    <t>Ecodiseño y ciclo de vida del producto
+2 año</t>
  </si>
  <si>
    <t>Ecodiseño y ciclo de vida del producto
+3 año</t>
  </si>
  <si>
    <t>Monitoreo y seguimiento +1 año</t>
  </si>
  <si>
    <t>Monitoreo y seguimiento +2 año</t>
  </si>
  <si>
    <t>Monitoreo y seguimiento +3 año</t>
  </si>
  <si>
    <t xml:space="preserve">Nivel de desempeño Total puntos matriz </t>
  </si>
  <si>
    <t xml:space="preserve">Desempeño alcanzado matriz </t>
  </si>
  <si>
    <t>Nivel de mejores prácticas Total puntos</t>
  </si>
  <si>
    <t>Beneficio de la empresa:
Utilidad antes de impuestos/Ventas año. 2016</t>
  </si>
  <si>
    <t>Beneficio de la empresa:
Utilidad antes de impuestos/Ventas año. 2017</t>
  </si>
  <si>
    <t>Beneficio de la empresa:
Utilidad antes de impuestos/Ventas año. 2018</t>
  </si>
  <si>
    <t>Beneficio de la empresa:
Utilidad antes de impuestos/Ventas año. 2019</t>
  </si>
  <si>
    <t>Beneficio de la empresa:
Utilidad antes de impuestos/Ventas año. 2020</t>
  </si>
  <si>
    <t>Utilidad antes de impuestos 1</t>
  </si>
  <si>
    <t>Utilidad antes de impuestos 2</t>
  </si>
  <si>
    <t>Revisión de Estados Financieros 1</t>
  </si>
  <si>
    <t>Revisión de Estados Financieros 2</t>
  </si>
  <si>
    <t>Revisión de Estados Financieros 3</t>
  </si>
  <si>
    <t>Utilidad antes de impuestos 1 +1 año</t>
  </si>
  <si>
    <t>Utilidad antes de impuestos 1 +2 año</t>
  </si>
  <si>
    <t>Utilidad antes de impuestos 1 +3 año</t>
  </si>
  <si>
    <t>Utilidad antes de impuestos 2 +1 año</t>
  </si>
  <si>
    <t>Utilidad antes de impuestos 2 +2 año</t>
  </si>
  <si>
    <t>Utilidad antes de impuestos 2 +3 año</t>
  </si>
  <si>
    <t>Capacidad de crear valor +1 año</t>
  </si>
  <si>
    <t>Capacidad de crear valor +2 año</t>
  </si>
  <si>
    <t>Capacidad de crear valor +3 año</t>
  </si>
  <si>
    <t>Productividad de los activos +1 año</t>
  </si>
  <si>
    <t>Productividad de los activos +2 año</t>
  </si>
  <si>
    <t>Productividad de los activos +3 año</t>
  </si>
  <si>
    <t>Productividad del capital de trabajo +1 año</t>
  </si>
  <si>
    <t>Productividad del capital de trabajo +2 año</t>
  </si>
  <si>
    <t>Productividad del capital de trabajo +3 año</t>
  </si>
  <si>
    <t>Revisión de Estados Financieros 1 +1 año</t>
  </si>
  <si>
    <t>Revisión de Estados Financieros 1 +2 año</t>
  </si>
  <si>
    <t>Revisión de Estados Financieros 1 +3 año</t>
  </si>
  <si>
    <t>Revisión de Estados Financieros 2 +1 año</t>
  </si>
  <si>
    <t>Revisión de Estados Financieros 2 +2 año</t>
  </si>
  <si>
    <t>Revisión de Estados Financieros 2 +3 año</t>
  </si>
  <si>
    <t>Revisión de Estados Financieros 3 +1 año</t>
  </si>
  <si>
    <t>Revisión de Estados Financieros 3 +2 año</t>
  </si>
  <si>
    <t>Revisión de Estados Financieros 3 +3 año</t>
  </si>
  <si>
    <t>Margen de EBITDA de la empresa = EBITDA/Ventas*100 % 2016</t>
  </si>
  <si>
    <t>Margen de EBITDA de la empresa = EBITDA/Ventas*100 % 2017</t>
  </si>
  <si>
    <t>Margen de EBITDA de la empresa = EBITDA/Ventas*100 % 2018</t>
  </si>
  <si>
    <t>Margen de EBITDA de la empresa = EBITDA/Ventas*100 % 2019</t>
  </si>
  <si>
    <t>Margen de EBITDA de la empresa = EBITDA/Ventas*100 % 2020</t>
  </si>
  <si>
    <t>Productividad de los activos de la empresa 2016</t>
  </si>
  <si>
    <t>Productividad de los activos de la empresa 2017</t>
  </si>
  <si>
    <t>Productividad de los activos de la empresa 2018</t>
  </si>
  <si>
    <t>Productividad de los activos de la empresa 2019</t>
  </si>
  <si>
    <t>Productividad de los activos de la empresa 2020</t>
  </si>
  <si>
    <t>Observaciones Utilidad antes de impuestos 1</t>
  </si>
  <si>
    <t>Observaciones Utilidad antes de impuestos 2</t>
  </si>
  <si>
    <t>Observaciones Capacidad de crear valor</t>
  </si>
  <si>
    <t>Observaciones Productividad de los activos</t>
  </si>
  <si>
    <t>Observaciones Productividad del capital de trabajo</t>
  </si>
  <si>
    <t>Observaciones Revisión de Estados Financieros 1</t>
  </si>
  <si>
    <t>Observaciones Revisión de Estados Financieros 2</t>
  </si>
  <si>
    <t>Observaciones Revisión de Estados Financieros 3</t>
  </si>
  <si>
    <t>Indice</t>
  </si>
  <si>
    <t>2. Precio</t>
  </si>
  <si>
    <t>3. Hoja de vida del Consultor</t>
  </si>
  <si>
    <t>4. Metodología</t>
  </si>
  <si>
    <t>5. Relación costo beneficio</t>
  </si>
  <si>
    <t>6. Trayectoria y Reputación de la firma consultora</t>
  </si>
  <si>
    <t>Natural</t>
  </si>
  <si>
    <t>Jurídico</t>
  </si>
  <si>
    <t>CIIU</t>
  </si>
  <si>
    <t>LLAVE</t>
  </si>
  <si>
    <t>Grupo</t>
  </si>
  <si>
    <t>Sector</t>
  </si>
  <si>
    <t>DescriptivaCIIU</t>
  </si>
  <si>
    <t>CIIURev4.0</t>
  </si>
  <si>
    <t>Descriptiva CIIURev4.0</t>
  </si>
  <si>
    <t>UAI</t>
  </si>
  <si>
    <t>Activos totales</t>
  </si>
  <si>
    <t>Ventas</t>
  </si>
  <si>
    <t>%Productividad de los activos</t>
  </si>
  <si>
    <t>%ebitda</t>
  </si>
  <si>
    <t>%UAI</t>
  </si>
  <si>
    <t>% VENTAS</t>
  </si>
  <si>
    <t>A</t>
  </si>
  <si>
    <t>01</t>
  </si>
  <si>
    <t>A0111</t>
  </si>
  <si>
    <t>Cultivo de cereales (excepto arroz), legumbres y semillas oleaginosas</t>
  </si>
  <si>
    <t>0111</t>
  </si>
  <si>
    <t xml:space="preserve">Cultivo de cereales (excepto arroz), legumbres y semillas oleaginosas </t>
  </si>
  <si>
    <t>A0112</t>
  </si>
  <si>
    <t>Cultivo de arroz</t>
  </si>
  <si>
    <t>0112</t>
  </si>
  <si>
    <t xml:space="preserve">Cultivo de arroz </t>
  </si>
  <si>
    <t>A0113</t>
  </si>
  <si>
    <t>Cultivo de hortalizas, raíces y tubérculos</t>
  </si>
  <si>
    <t>0113</t>
  </si>
  <si>
    <t xml:space="preserve">Cultivo de hortalizas, raíces y tubérculos </t>
  </si>
  <si>
    <t>A0114</t>
  </si>
  <si>
    <t>Cultivo de tabaco</t>
  </si>
  <si>
    <t>0114</t>
  </si>
  <si>
    <t xml:space="preserve">Cultivo de tabaco </t>
  </si>
  <si>
    <t>A0115</t>
  </si>
  <si>
    <t>Cultivo de plantas textiles</t>
  </si>
  <si>
    <t>0115</t>
  </si>
  <si>
    <t xml:space="preserve">Cultivo de plantas textiles </t>
  </si>
  <si>
    <t>A0119</t>
  </si>
  <si>
    <t>Otros cultivos transitorios n.c.p.</t>
  </si>
  <si>
    <t>0119</t>
  </si>
  <si>
    <t>A0121</t>
  </si>
  <si>
    <t>Cultivo de frutas tropicales y subtropicales</t>
  </si>
  <si>
    <t>0121</t>
  </si>
  <si>
    <t>A0122</t>
  </si>
  <si>
    <t>Cultivo de plátano y banano</t>
  </si>
  <si>
    <t>0122</t>
  </si>
  <si>
    <t>A0123</t>
  </si>
  <si>
    <t>Cultivo de café</t>
  </si>
  <si>
    <t>0123</t>
  </si>
  <si>
    <t>A0124</t>
  </si>
  <si>
    <t>Cultivo de caña de azúcar</t>
  </si>
  <si>
    <t>0124</t>
  </si>
  <si>
    <t>A0125</t>
  </si>
  <si>
    <t>Cultivo de flor de corte</t>
  </si>
  <si>
    <t>0125</t>
  </si>
  <si>
    <t>A0126</t>
  </si>
  <si>
    <t>Cultivo de palma para aceite (palma africana) y otros frutos oleaginosos</t>
  </si>
  <si>
    <t>0126</t>
  </si>
  <si>
    <t>A0127</t>
  </si>
  <si>
    <t>Cultivo de plantas con las que se preparan bebidas</t>
  </si>
  <si>
    <t>0127</t>
  </si>
  <si>
    <t>A0128</t>
  </si>
  <si>
    <t>Cultivo de especias y de plantas aromáticas y medicinales</t>
  </si>
  <si>
    <t>0128</t>
  </si>
  <si>
    <t xml:space="preserve">Cultivo de especias y de plantas aromáticas y medicinales </t>
  </si>
  <si>
    <t>A0129</t>
  </si>
  <si>
    <t>Otros cultivos permanentes n.c.p.</t>
  </si>
  <si>
    <t>0129</t>
  </si>
  <si>
    <t>A0130</t>
  </si>
  <si>
    <t>Propagación de plantas (actividades de los viveros, excepto viveros forestales)</t>
  </si>
  <si>
    <t>0130</t>
  </si>
  <si>
    <t xml:space="preserve">Propagación de plantas (actividades de los viveros, excepto viveros forestales) </t>
  </si>
  <si>
    <t>A0141</t>
  </si>
  <si>
    <t>Cría de ganado bovino y bufalino</t>
  </si>
  <si>
    <t>0141</t>
  </si>
  <si>
    <t>A0143</t>
  </si>
  <si>
    <t>Cría de ovejas y cabras</t>
  </si>
  <si>
    <t>0143</t>
  </si>
  <si>
    <t xml:space="preserve">Cría de ovejas y cabras </t>
  </si>
  <si>
    <t>A0144</t>
  </si>
  <si>
    <t>Cría de ganado porcino</t>
  </si>
  <si>
    <t>0144</t>
  </si>
  <si>
    <t>A0145</t>
  </si>
  <si>
    <t>Cría de aves de corral</t>
  </si>
  <si>
    <t>0145</t>
  </si>
  <si>
    <t>A0149</t>
  </si>
  <si>
    <t>Cría de otros animales n.c.p.</t>
  </si>
  <si>
    <t>0149</t>
  </si>
  <si>
    <t>A0150</t>
  </si>
  <si>
    <t>Explotación mixta (agrícola y pecuaria)</t>
  </si>
  <si>
    <t>0150</t>
  </si>
  <si>
    <t xml:space="preserve">Explotación mixta (agrícola y pecuaria) </t>
  </si>
  <si>
    <t>A0161</t>
  </si>
  <si>
    <t>Actividades de apoyo a la agricultura</t>
  </si>
  <si>
    <t>0161</t>
  </si>
  <si>
    <t xml:space="preserve">Actividades de apoyo a la agricultura </t>
  </si>
  <si>
    <t>A0162</t>
  </si>
  <si>
    <t>Actividades de apoyo a la ganadería</t>
  </si>
  <si>
    <t>0162</t>
  </si>
  <si>
    <t>A0163</t>
  </si>
  <si>
    <t>Actividades posteriores a la cosecha</t>
  </si>
  <si>
    <t>0163</t>
  </si>
  <si>
    <t xml:space="preserve">Actividades posteriores a la cosecha </t>
  </si>
  <si>
    <t>A0164</t>
  </si>
  <si>
    <t>Tratamiento de semillas para propagación</t>
  </si>
  <si>
    <t>0164</t>
  </si>
  <si>
    <t xml:space="preserve">Tratamiento de semillas para propagación </t>
  </si>
  <si>
    <t>02</t>
  </si>
  <si>
    <t>A0210</t>
  </si>
  <si>
    <t>Silvicultura y otras actividades forestales</t>
  </si>
  <si>
    <t>0210</t>
  </si>
  <si>
    <t>A0220</t>
  </si>
  <si>
    <t>Extracción de madera</t>
  </si>
  <si>
    <t>0220</t>
  </si>
  <si>
    <t xml:space="preserve">Extracción de madera </t>
  </si>
  <si>
    <t>A0240</t>
  </si>
  <si>
    <t>Servicios de apoyo a la silvicultura</t>
  </si>
  <si>
    <t>0240</t>
  </si>
  <si>
    <t xml:space="preserve">Servicios de apoyo a la silvicultura </t>
  </si>
  <si>
    <t>03</t>
  </si>
  <si>
    <t>A0311</t>
  </si>
  <si>
    <t>Pesca marítima</t>
  </si>
  <si>
    <t>0311</t>
  </si>
  <si>
    <t xml:space="preserve">Pesca marítima </t>
  </si>
  <si>
    <t>A0312</t>
  </si>
  <si>
    <t>Pesca de agua dulce</t>
  </si>
  <si>
    <t>0312</t>
  </si>
  <si>
    <t xml:space="preserve">Pesca de agua dulce </t>
  </si>
  <si>
    <t>A0321</t>
  </si>
  <si>
    <t>Acuicultura marítima</t>
  </si>
  <si>
    <t>0321</t>
  </si>
  <si>
    <t xml:space="preserve">Acuicultura marítima </t>
  </si>
  <si>
    <t>A0322</t>
  </si>
  <si>
    <t>Acuicultura de agua dulce</t>
  </si>
  <si>
    <t>0322</t>
  </si>
  <si>
    <t>B</t>
  </si>
  <si>
    <t>05</t>
  </si>
  <si>
    <t>B0510</t>
  </si>
  <si>
    <t>Extracción de hulla (carbón de piedra)</t>
  </si>
  <si>
    <t>0510</t>
  </si>
  <si>
    <t>B0520</t>
  </si>
  <si>
    <t>Extracción de carbón lignito</t>
  </si>
  <si>
    <t>0520</t>
  </si>
  <si>
    <t>06</t>
  </si>
  <si>
    <t>B0610</t>
  </si>
  <si>
    <t>Extracción de petróleo crudo</t>
  </si>
  <si>
    <t>0610</t>
  </si>
  <si>
    <t>B0620</t>
  </si>
  <si>
    <t>Extracción de gas natural</t>
  </si>
  <si>
    <t>0620</t>
  </si>
  <si>
    <t>07</t>
  </si>
  <si>
    <t>B0710</t>
  </si>
  <si>
    <t>Extracción de minerales de hierro</t>
  </si>
  <si>
    <t>0710</t>
  </si>
  <si>
    <t>B0722</t>
  </si>
  <si>
    <t>Extracción de oro y otros metales preciosos</t>
  </si>
  <si>
    <t>0722</t>
  </si>
  <si>
    <t>B0729</t>
  </si>
  <si>
    <t>Extracción de otros minerales metalíferos no ferrosos n.c.p.</t>
  </si>
  <si>
    <t>0729</t>
  </si>
  <si>
    <t>08</t>
  </si>
  <si>
    <t>B0811</t>
  </si>
  <si>
    <t>Extracción de piedra, arena, arcillas comunes, yeso y anhidrita</t>
  </si>
  <si>
    <t>0811</t>
  </si>
  <si>
    <t>B0812</t>
  </si>
  <si>
    <t>Extracción de arcillas de uso industrial, caliza, caolín y bentonitas</t>
  </si>
  <si>
    <t>0812</t>
  </si>
  <si>
    <t>B0820</t>
  </si>
  <si>
    <t>Extracción de esmeraldas, piedras preciosas y semipreciosas</t>
  </si>
  <si>
    <t>0820</t>
  </si>
  <si>
    <t>B0891</t>
  </si>
  <si>
    <t>Extracción de minerales para la fabricación de abonos y productos químicos</t>
  </si>
  <si>
    <t>0891</t>
  </si>
  <si>
    <t>B0892</t>
  </si>
  <si>
    <t>Extracción de halita (sal)</t>
  </si>
  <si>
    <t>0892</t>
  </si>
  <si>
    <t>B0899</t>
  </si>
  <si>
    <t>Extracción de otros minerales no metálicos n.c.p.</t>
  </si>
  <si>
    <t>0899</t>
  </si>
  <si>
    <t>09</t>
  </si>
  <si>
    <t>B0910</t>
  </si>
  <si>
    <t>Actividades de apoyo para la extracción de petróleo y de gas natural</t>
  </si>
  <si>
    <t>0910</t>
  </si>
  <si>
    <t>B0990</t>
  </si>
  <si>
    <t>Actividades de apoyo para otras actividades de explotación de minas y canteras</t>
  </si>
  <si>
    <t>0990</t>
  </si>
  <si>
    <t>C</t>
  </si>
  <si>
    <t>10</t>
  </si>
  <si>
    <t>C1011</t>
  </si>
  <si>
    <t>Procesamiento y conservación de carne y productos cárnicos</t>
  </si>
  <si>
    <t>1011</t>
  </si>
  <si>
    <t>C1012</t>
  </si>
  <si>
    <t>Procesamiento y conservación de pescados, crustáceos y moluscos</t>
  </si>
  <si>
    <t>1012</t>
  </si>
  <si>
    <t>C1020</t>
  </si>
  <si>
    <t>Procesamiento y conservación de frutas, legumbres, hortalizas y tubérculos</t>
  </si>
  <si>
    <t>1020</t>
  </si>
  <si>
    <t>C1030</t>
  </si>
  <si>
    <t>Elaboración de aceites y grasas de origen vegetal y animal</t>
  </si>
  <si>
    <t>1030</t>
  </si>
  <si>
    <t>C1040</t>
  </si>
  <si>
    <t>Elaboración de productos lácteos</t>
  </si>
  <si>
    <t>1040</t>
  </si>
  <si>
    <t>C1051</t>
  </si>
  <si>
    <t>Elaboración de productos de molinería</t>
  </si>
  <si>
    <t>1051</t>
  </si>
  <si>
    <t>C1052</t>
  </si>
  <si>
    <t>Elaboración de almidones y productos derivados del almidón</t>
  </si>
  <si>
    <t>1052</t>
  </si>
  <si>
    <t>C1061</t>
  </si>
  <si>
    <t>Trilla de café</t>
  </si>
  <si>
    <t>1061</t>
  </si>
  <si>
    <t>C1062</t>
  </si>
  <si>
    <t>Descafeinado, tostión y molienda del café</t>
  </si>
  <si>
    <t>1062</t>
  </si>
  <si>
    <t>C1063</t>
  </si>
  <si>
    <t>Otros derivados del café</t>
  </si>
  <si>
    <t>1063</t>
  </si>
  <si>
    <t>C1071</t>
  </si>
  <si>
    <t>Elaboración y refinación de azúcar</t>
  </si>
  <si>
    <t>1071</t>
  </si>
  <si>
    <t>C1072</t>
  </si>
  <si>
    <t>Elaboración de panela</t>
  </si>
  <si>
    <t>1072</t>
  </si>
  <si>
    <t>C1081</t>
  </si>
  <si>
    <t>Elaboración de productos de panadería</t>
  </si>
  <si>
    <t>1081</t>
  </si>
  <si>
    <t>C1082</t>
  </si>
  <si>
    <t>Elaboración de cacao, chocolate y productos de confitería</t>
  </si>
  <si>
    <t>1082</t>
  </si>
  <si>
    <t>C1083</t>
  </si>
  <si>
    <t>Elaboración de macarrones, fideos, alcuzcuz y productos farináceos similares</t>
  </si>
  <si>
    <t>1083</t>
  </si>
  <si>
    <t>C1084</t>
  </si>
  <si>
    <t>Elaboración de comidas y platos preparados</t>
  </si>
  <si>
    <t>1084</t>
  </si>
  <si>
    <t>C1089</t>
  </si>
  <si>
    <t>Elaboración de otros productos alimenticios n.c.p.</t>
  </si>
  <si>
    <t>1089</t>
  </si>
  <si>
    <t>C1090</t>
  </si>
  <si>
    <t>Elaboración de alimentos preparados para animales</t>
  </si>
  <si>
    <t>1090</t>
  </si>
  <si>
    <t>11</t>
  </si>
  <si>
    <t>C1101</t>
  </si>
  <si>
    <t>Destilación, rectificación y mezcla de bebidas alcohólicas</t>
  </si>
  <si>
    <t>1101</t>
  </si>
  <si>
    <t>C1102</t>
  </si>
  <si>
    <t>Elaboración de bebidas fermentadas no destiladas</t>
  </si>
  <si>
    <t>1102</t>
  </si>
  <si>
    <t>C1103</t>
  </si>
  <si>
    <t>Producción de malta, elaboración de cervezas y otras bebidas malteadas</t>
  </si>
  <si>
    <t>1103</t>
  </si>
  <si>
    <t>C1104</t>
  </si>
  <si>
    <t>Elaboración de bebidas no alcohólicas, producción de aguas minerales y de otras aguas embotelladas</t>
  </si>
  <si>
    <t>1104</t>
  </si>
  <si>
    <t>12</t>
  </si>
  <si>
    <t>C1200</t>
  </si>
  <si>
    <t>Elaboración de productos de tabaco</t>
  </si>
  <si>
    <t>1200</t>
  </si>
  <si>
    <t>13</t>
  </si>
  <si>
    <t>C1311</t>
  </si>
  <si>
    <t>Preparación e hilatura de fibras textiles</t>
  </si>
  <si>
    <t>1311</t>
  </si>
  <si>
    <t>C1312</t>
  </si>
  <si>
    <t>Tejeduría de productos textiles</t>
  </si>
  <si>
    <t>1312</t>
  </si>
  <si>
    <t>C1313</t>
  </si>
  <si>
    <t>Acabado de productos textiles</t>
  </si>
  <si>
    <t>1313</t>
  </si>
  <si>
    <t>C1391</t>
  </si>
  <si>
    <t>Fabricación de tejidos de punto y ganchillo</t>
  </si>
  <si>
    <t>1391</t>
  </si>
  <si>
    <t>C1392</t>
  </si>
  <si>
    <t>Confección de artículos con materiales textiles, excepto prendas de vestir</t>
  </si>
  <si>
    <t>1392</t>
  </si>
  <si>
    <t>C1393</t>
  </si>
  <si>
    <t>Fabricación de tapetes y alfombras para pisos</t>
  </si>
  <si>
    <t>1393</t>
  </si>
  <si>
    <t>C1394</t>
  </si>
  <si>
    <t>Fabricación de cuerdas, cordeles, cables, bramantes y redes</t>
  </si>
  <si>
    <t>1394</t>
  </si>
  <si>
    <t>C1399</t>
  </si>
  <si>
    <t>Fabricación de otros artículos textiles n.c.p.</t>
  </si>
  <si>
    <t>1399</t>
  </si>
  <si>
    <t>14</t>
  </si>
  <si>
    <t>C1410</t>
  </si>
  <si>
    <t>Confección de prendas de vestir, excepto prendas de piel</t>
  </si>
  <si>
    <t>1410</t>
  </si>
  <si>
    <t>C1420</t>
  </si>
  <si>
    <t>Fabricación de artículos de piel</t>
  </si>
  <si>
    <t>1420</t>
  </si>
  <si>
    <t>C1430</t>
  </si>
  <si>
    <t>Fabricación de artículos de punto y ganchillo</t>
  </si>
  <si>
    <t>1430</t>
  </si>
  <si>
    <t>15</t>
  </si>
  <si>
    <t>C1511</t>
  </si>
  <si>
    <t>Curtido y recurtido de cueros; recurtido y teñido de pieles</t>
  </si>
  <si>
    <t>1511</t>
  </si>
  <si>
    <t>C1512</t>
  </si>
  <si>
    <t>Fabricación de artículos de viaje, bolsos de mano y artículos similares elaborados en cuero, y fabricación de artículos de talabartería y guarnicionería</t>
  </si>
  <si>
    <t>1512</t>
  </si>
  <si>
    <t>C1513</t>
  </si>
  <si>
    <t>Fabricación de artículos de viaje, bolsos de mano y artículos similares; artículos de talabartería y guarnicionería elaborados en otros materiales</t>
  </si>
  <si>
    <t>1513</t>
  </si>
  <si>
    <t>C1521</t>
  </si>
  <si>
    <t>Fabricación de calzado de cuero y piel, con cualquier tipo de suela</t>
  </si>
  <si>
    <t>1521</t>
  </si>
  <si>
    <t>C1522</t>
  </si>
  <si>
    <t>Fabricación de otros tipos de calzado, excepto calzado de cuero y piel</t>
  </si>
  <si>
    <t>1522</t>
  </si>
  <si>
    <t>C1523</t>
  </si>
  <si>
    <t>Fabricación de partes del calzado</t>
  </si>
  <si>
    <t>1523</t>
  </si>
  <si>
    <t>16</t>
  </si>
  <si>
    <t>C1610</t>
  </si>
  <si>
    <t>Aserrado, acepillado e impregnación de la madera</t>
  </si>
  <si>
    <t>1610</t>
  </si>
  <si>
    <t>C1620</t>
  </si>
  <si>
    <t>Fabricación de hojas de madera para enchapado; fabricación de tableros contrachapados, tableros laminados, tableros de partículas y otros tableros y paneles</t>
  </si>
  <si>
    <t>1620</t>
  </si>
  <si>
    <t>C1630</t>
  </si>
  <si>
    <t>Fabricación de partes y piezas de madera, de carpintería y ebanistería para la construcción</t>
  </si>
  <si>
    <t>1630</t>
  </si>
  <si>
    <t>C1640</t>
  </si>
  <si>
    <t>Fabricación de recipientes de madera</t>
  </si>
  <si>
    <t>1640</t>
  </si>
  <si>
    <t>C1690</t>
  </si>
  <si>
    <t>Fabricación de otros productos de madera; fabricación de artículos de corcho, cestería y espartería</t>
  </si>
  <si>
    <t>1690</t>
  </si>
  <si>
    <t>17</t>
  </si>
  <si>
    <t>C1701</t>
  </si>
  <si>
    <t>Fabricación de pulpas (pastas) celulósicas; papel y cartón</t>
  </si>
  <si>
    <t>1701</t>
  </si>
  <si>
    <t>C1702</t>
  </si>
  <si>
    <t>Fabricación de papel y cartón ondulado (corrugado); fabricación de envases, empaques y de embalajes de papel y cartón</t>
  </si>
  <si>
    <t>1702</t>
  </si>
  <si>
    <t>Fabricación de papel y cartón ondulado (corrugado); fabricación de envases, empaques y de embalajes de papel y cartón.</t>
  </si>
  <si>
    <t>C1709</t>
  </si>
  <si>
    <t>Fabricación de otros artículos de papel y cartón</t>
  </si>
  <si>
    <t>1709</t>
  </si>
  <si>
    <t>18</t>
  </si>
  <si>
    <t>C1811</t>
  </si>
  <si>
    <t>Actividades de impresión</t>
  </si>
  <si>
    <t>1811</t>
  </si>
  <si>
    <t>C1812</t>
  </si>
  <si>
    <t>Actividades de servicios relacionados con la impresión</t>
  </si>
  <si>
    <t>1812</t>
  </si>
  <si>
    <t>C1820</t>
  </si>
  <si>
    <t>Producción de copias a partir de grabaciones originales</t>
  </si>
  <si>
    <t>1820</t>
  </si>
  <si>
    <t xml:space="preserve">Producción de copias a partir de grabaciones originales </t>
  </si>
  <si>
    <t>19</t>
  </si>
  <si>
    <t>C1910</t>
  </si>
  <si>
    <t>Fabricación de productos de hornos de coque</t>
  </si>
  <si>
    <t>1910</t>
  </si>
  <si>
    <t>C1921</t>
  </si>
  <si>
    <t>Fabricación de productos de la refinación del petróleo</t>
  </si>
  <si>
    <t>1921</t>
  </si>
  <si>
    <t>20</t>
  </si>
  <si>
    <t>C2011</t>
  </si>
  <si>
    <t>Fabricación de sustancias y productos químicos básicos</t>
  </si>
  <si>
    <t>2011</t>
  </si>
  <si>
    <t>C2012</t>
  </si>
  <si>
    <t>Fabricación de abonos y compuestos inorgánicos nitrogenados</t>
  </si>
  <si>
    <t>2012</t>
  </si>
  <si>
    <t>C2013</t>
  </si>
  <si>
    <t>Fabricación de plásticos en formas primarias</t>
  </si>
  <si>
    <t>2013</t>
  </si>
  <si>
    <t>C2014</t>
  </si>
  <si>
    <t>Fabricación de caucho sintético en formas primarias</t>
  </si>
  <si>
    <t>2014</t>
  </si>
  <si>
    <t>C2021</t>
  </si>
  <si>
    <t>Fabricación de plaguicidas y otros productos químicos de uso agropecuario</t>
  </si>
  <si>
    <t>2021</t>
  </si>
  <si>
    <t>C2022</t>
  </si>
  <si>
    <t>Fabricación de pinturas, barnices y revestimientos similares, tintas para impresión y masillas</t>
  </si>
  <si>
    <t>2022</t>
  </si>
  <si>
    <t>C2023</t>
  </si>
  <si>
    <t>Fabricación de jabones y detergentes, preparados para limpiar y pulir; perfumes y preparados de tocador</t>
  </si>
  <si>
    <t>2023</t>
  </si>
  <si>
    <t>C2029</t>
  </si>
  <si>
    <t>Fabricación de otros productos químicos n.c.p.</t>
  </si>
  <si>
    <t>2029</t>
  </si>
  <si>
    <t>C2030</t>
  </si>
  <si>
    <t>Fabricación de fibras sintéticas y artificiales</t>
  </si>
  <si>
    <t>2030</t>
  </si>
  <si>
    <t>21</t>
  </si>
  <si>
    <t>C2100</t>
  </si>
  <si>
    <t>Fabricación de productos farmacéuticos, sustancias químicas medicinales y productos botánicos de uso farmacéutico</t>
  </si>
  <si>
    <t>2100</t>
  </si>
  <si>
    <t>22</t>
  </si>
  <si>
    <t>C2211</t>
  </si>
  <si>
    <t>Fabricación de llantas y neumáticos de caucho</t>
  </si>
  <si>
    <t>2211</t>
  </si>
  <si>
    <t>C2212</t>
  </si>
  <si>
    <t>Reencauche de llantas usadas</t>
  </si>
  <si>
    <t>2212</t>
  </si>
  <si>
    <t>C2219</t>
  </si>
  <si>
    <t>Fabricación de formas básicas de caucho y otros productos de caucho n.c.p.</t>
  </si>
  <si>
    <t>2219</t>
  </si>
  <si>
    <t>Fabricación de formas básicas de plástico</t>
  </si>
  <si>
    <t>2221</t>
  </si>
  <si>
    <t>C2229</t>
  </si>
  <si>
    <t>Fabricación de artículos de plástico n.c.p.</t>
  </si>
  <si>
    <t>2229</t>
  </si>
  <si>
    <t>23</t>
  </si>
  <si>
    <t>C2310</t>
  </si>
  <si>
    <t>Fabricación de vidrio y productos de vidrio</t>
  </si>
  <si>
    <t>2310</t>
  </si>
  <si>
    <t>C2391</t>
  </si>
  <si>
    <t>Fabricación de productos refractarios</t>
  </si>
  <si>
    <t>2391</t>
  </si>
  <si>
    <t>C2392</t>
  </si>
  <si>
    <t>Fabricación de materiales de arcilla para la construcción</t>
  </si>
  <si>
    <t>2392</t>
  </si>
  <si>
    <t>C2393</t>
  </si>
  <si>
    <t>Fabricación de otros productos de cerámica y porcelana</t>
  </si>
  <si>
    <t>2393</t>
  </si>
  <si>
    <t>C2394</t>
  </si>
  <si>
    <t>Fabricación de cemento, cal y yeso</t>
  </si>
  <si>
    <t>2394</t>
  </si>
  <si>
    <t>C2395</t>
  </si>
  <si>
    <t>Fabricación de artículos de hormigón, cemento y yeso</t>
  </si>
  <si>
    <t>2395</t>
  </si>
  <si>
    <t>C2396</t>
  </si>
  <si>
    <t>Corte, tallado y acabado de la piedra</t>
  </si>
  <si>
    <t>2396</t>
  </si>
  <si>
    <t>C2399</t>
  </si>
  <si>
    <t>Fabricación de otros productos minerales no metálicos n.c.p.</t>
  </si>
  <si>
    <t>2399</t>
  </si>
  <si>
    <t>24</t>
  </si>
  <si>
    <t>C2410</t>
  </si>
  <si>
    <t>Industrias básicas de hierro y de acero</t>
  </si>
  <si>
    <t>2410</t>
  </si>
  <si>
    <t>C2421</t>
  </si>
  <si>
    <t>Industrias básicas de metales preciosos</t>
  </si>
  <si>
    <t>2421</t>
  </si>
  <si>
    <t>C2429</t>
  </si>
  <si>
    <t>Industrias básicas de otros metales no ferrosos</t>
  </si>
  <si>
    <t>2429</t>
  </si>
  <si>
    <t>C2431</t>
  </si>
  <si>
    <t>Fundición de hierro y de acero</t>
  </si>
  <si>
    <t>2431</t>
  </si>
  <si>
    <t>C2432</t>
  </si>
  <si>
    <t>Fundición de metales no ferrosos</t>
  </si>
  <si>
    <t>2432</t>
  </si>
  <si>
    <t xml:space="preserve">Fundición de metales no ferrosos </t>
  </si>
  <si>
    <t>25</t>
  </si>
  <si>
    <t>C2511</t>
  </si>
  <si>
    <t>Fabricación de productos metálicos para uso estructural</t>
  </si>
  <si>
    <t>2511</t>
  </si>
  <si>
    <t>C2512</t>
  </si>
  <si>
    <t>Fabricación de tanques, depósitos y recipientes de metal, excepto los utilizados para el envase o transporte de mercancías</t>
  </si>
  <si>
    <t>2512</t>
  </si>
  <si>
    <t>C2513</t>
  </si>
  <si>
    <t>Fabricación de generadores de vapor, excepto calderas de agua caliente para calefacción central</t>
  </si>
  <si>
    <t>2513</t>
  </si>
  <si>
    <t>C2520</t>
  </si>
  <si>
    <t>2520</t>
  </si>
  <si>
    <t>Fabricación de armas y municiones</t>
  </si>
  <si>
    <t>C2591</t>
  </si>
  <si>
    <t>Forja, prensado, estampado y laminado de metal; pulvimetalurgia</t>
  </si>
  <si>
    <t>2591</t>
  </si>
  <si>
    <t>C2592</t>
  </si>
  <si>
    <t>Tratamiento y revestimiento de metales; mecanizado</t>
  </si>
  <si>
    <t>2592</t>
  </si>
  <si>
    <t>C2593</t>
  </si>
  <si>
    <t>Fabricación de artículos de cuchillería, herramientas de mano y artículos de ferretería</t>
  </si>
  <si>
    <t>2593</t>
  </si>
  <si>
    <t>C2599</t>
  </si>
  <si>
    <t>Fabricación de otros productos elaborados de metal n.c.p.</t>
  </si>
  <si>
    <t>2599</t>
  </si>
  <si>
    <t>26</t>
  </si>
  <si>
    <t>C2610</t>
  </si>
  <si>
    <t>Fabricación de componentes y tableros electrónicos</t>
  </si>
  <si>
    <t>2610</t>
  </si>
  <si>
    <t>C2620</t>
  </si>
  <si>
    <t>Fabricación de computadoras y de equipo periférico</t>
  </si>
  <si>
    <t>2620</t>
  </si>
  <si>
    <t>C2651</t>
  </si>
  <si>
    <t>Fabricación de equipo de medición, prueba, navegación y control</t>
  </si>
  <si>
    <t>2651</t>
  </si>
  <si>
    <t>C2660</t>
  </si>
  <si>
    <t>Fabricación de equipo de irradiación y equipo electrónico de uso médico y terapéutico</t>
  </si>
  <si>
    <t>2660</t>
  </si>
  <si>
    <t>C2670</t>
  </si>
  <si>
    <t>Fabricación de instrumentos ópticos y equipo fotográfico</t>
  </si>
  <si>
    <t>2670</t>
  </si>
  <si>
    <t>27</t>
  </si>
  <si>
    <t>C2711</t>
  </si>
  <si>
    <t>Fabricación de motores, generadores y transformadores eléctricos</t>
  </si>
  <si>
    <t>2711</t>
  </si>
  <si>
    <t>C2712</t>
  </si>
  <si>
    <t>Fabricación de aparatos de distribución y control de la energía eléctrica</t>
  </si>
  <si>
    <t>2712</t>
  </si>
  <si>
    <t>C2720</t>
  </si>
  <si>
    <t>Fabricación de pilas, baterías y acumuladores eléctricos</t>
  </si>
  <si>
    <t>2720</t>
  </si>
  <si>
    <t>C2731</t>
  </si>
  <si>
    <t>Fabricación de hilos y cables eléctricos y de fibra óptica</t>
  </si>
  <si>
    <t>2731</t>
  </si>
  <si>
    <t>C2740</t>
  </si>
  <si>
    <t>Fabricación de equipos eléctricos de iluminación</t>
  </si>
  <si>
    <t>2740</t>
  </si>
  <si>
    <t>C2750</t>
  </si>
  <si>
    <t>Fabricación de aparatos de uso doméstico</t>
  </si>
  <si>
    <t>2750</t>
  </si>
  <si>
    <t>C2790</t>
  </si>
  <si>
    <t>Fabricación de otros tipos de equipo eléctrico n.c.p.</t>
  </si>
  <si>
    <t>2790</t>
  </si>
  <si>
    <t>28</t>
  </si>
  <si>
    <t>C2811</t>
  </si>
  <si>
    <t>2811</t>
  </si>
  <si>
    <t>Fabricación de motores, turbinas, y partes para motores de combustión interna</t>
  </si>
  <si>
    <t>C2812</t>
  </si>
  <si>
    <t>Fabricación de equipos de potencia hidráulica y neumática</t>
  </si>
  <si>
    <t>2812</t>
  </si>
  <si>
    <t>C2813</t>
  </si>
  <si>
    <t>Fabricación de otras bombas, compresores, grifos y válvulas</t>
  </si>
  <si>
    <t>2813</t>
  </si>
  <si>
    <t>C2815</t>
  </si>
  <si>
    <t>Fabricación de hornos, hogares y quemadores industriales</t>
  </si>
  <si>
    <t>2815</t>
  </si>
  <si>
    <t>C2816</t>
  </si>
  <si>
    <t>Fabricación de equipo de elevación y manipulación</t>
  </si>
  <si>
    <t>2816</t>
  </si>
  <si>
    <t>C2819</t>
  </si>
  <si>
    <t>Fabricación de otros tipos de maquinaria y equipo de uso general n.c.p.</t>
  </si>
  <si>
    <t>2819</t>
  </si>
  <si>
    <t>C2821</t>
  </si>
  <si>
    <t>Fabricación de maquinaria agropecuaria y forestal</t>
  </si>
  <si>
    <t>2821</t>
  </si>
  <si>
    <t>C2822</t>
  </si>
  <si>
    <t>Fabricación de máquinas formadoras de metal y de máquinas herramienta</t>
  </si>
  <si>
    <t>2822</t>
  </si>
  <si>
    <t>C2823</t>
  </si>
  <si>
    <t>Fabricación de maquinaria para la metalurgia</t>
  </si>
  <si>
    <t>2823</t>
  </si>
  <si>
    <t>C2824</t>
  </si>
  <si>
    <t>Fabricación de maquinaria para explotación de minas y canteras y para obras de construcción</t>
  </si>
  <si>
    <t>2824</t>
  </si>
  <si>
    <t>C2825</t>
  </si>
  <si>
    <t>Fabricación de maquinaria para la elaboración de alimentos, bebidas y tabaco</t>
  </si>
  <si>
    <t>2825</t>
  </si>
  <si>
    <t>C2829</t>
  </si>
  <si>
    <t>Fabricación de otros tipos de maquinaria y equipo de uso especial n.c.p.</t>
  </si>
  <si>
    <t>2829</t>
  </si>
  <si>
    <t>29</t>
  </si>
  <si>
    <t>C2910</t>
  </si>
  <si>
    <t>Fabricación de vehículos automotores y sus motores</t>
  </si>
  <si>
    <t>2910</t>
  </si>
  <si>
    <t>C2920</t>
  </si>
  <si>
    <t>Fabricación de carrocerías para vehículos automotores; fabricación de remolques y semirremolques</t>
  </si>
  <si>
    <t>2920</t>
  </si>
  <si>
    <t xml:space="preserve">Fabricación de carrocerías para vehículos automotores; fabricación de remolques y semirremolques </t>
  </si>
  <si>
    <t>C2930</t>
  </si>
  <si>
    <t>Fabricación de partes, piezas (autopartes) y accesorios (lujos) para vehículos automotores</t>
  </si>
  <si>
    <t>2930</t>
  </si>
  <si>
    <t>30</t>
  </si>
  <si>
    <t>C3011</t>
  </si>
  <si>
    <t>Construcción de barcos y de estructuras flotantes</t>
  </si>
  <si>
    <t>3011</t>
  </si>
  <si>
    <t>C3012</t>
  </si>
  <si>
    <t>Construcción de embarcaciones de recreo y deporte</t>
  </si>
  <si>
    <t>3012</t>
  </si>
  <si>
    <t>C3030</t>
  </si>
  <si>
    <t>Fabricación de aeronaves, naves espaciales y de maquinaria conexa</t>
  </si>
  <si>
    <t>3030</t>
  </si>
  <si>
    <t>C3091</t>
  </si>
  <si>
    <t>Fabricación de motocicletas</t>
  </si>
  <si>
    <t>3091</t>
  </si>
  <si>
    <t>C3092</t>
  </si>
  <si>
    <t>Fabricación de bicicletas y de sillas de ruedas para personas con discapacidad</t>
  </si>
  <si>
    <t>3092</t>
  </si>
  <si>
    <t>C3099</t>
  </si>
  <si>
    <t>Fabricación de otros tipos de equipo de transporte n.c.p.</t>
  </si>
  <si>
    <t>3099</t>
  </si>
  <si>
    <t>31</t>
  </si>
  <si>
    <t>C3110</t>
  </si>
  <si>
    <t>Fabricación de muebles</t>
  </si>
  <si>
    <t>3110</t>
  </si>
  <si>
    <t xml:space="preserve">Fabricación de muebles </t>
  </si>
  <si>
    <t>C3120</t>
  </si>
  <si>
    <t>Fabricación de colchones y somieres</t>
  </si>
  <si>
    <t>3120</t>
  </si>
  <si>
    <t>32</t>
  </si>
  <si>
    <t>C3210</t>
  </si>
  <si>
    <t>Fabricación de joyas, bisutería y artículos conexos</t>
  </si>
  <si>
    <t>3210</t>
  </si>
  <si>
    <t>C3230</t>
  </si>
  <si>
    <t>Fabricación de artículos y equipo para la práctica del deporte</t>
  </si>
  <si>
    <t>3230</t>
  </si>
  <si>
    <t>C3240</t>
  </si>
  <si>
    <t>Fabricación de juegos, juguetes y rompecabezas</t>
  </si>
  <si>
    <t>3240</t>
  </si>
  <si>
    <t>C3250</t>
  </si>
  <si>
    <t>Fabricación de instrumentos, aparatos y materiales médicos y odontológicos (incluido mobiliario)</t>
  </si>
  <si>
    <t>3250</t>
  </si>
  <si>
    <t>C3290</t>
  </si>
  <si>
    <t>Otras industrias manufactureras n.c.p.</t>
  </si>
  <si>
    <t>3290</t>
  </si>
  <si>
    <t>33</t>
  </si>
  <si>
    <t>C3311</t>
  </si>
  <si>
    <t>Mantenimiento y reparación especializado de productos elaborados en metal</t>
  </si>
  <si>
    <t>3311</t>
  </si>
  <si>
    <t>C3312</t>
  </si>
  <si>
    <t>Mantenimiento y reparación especializado de maquinaria y equipo</t>
  </si>
  <si>
    <t>3312</t>
  </si>
  <si>
    <t>C3313</t>
  </si>
  <si>
    <t>Mantenimiento y reparación especializado de equipo electrónico y óptico</t>
  </si>
  <si>
    <t>3313</t>
  </si>
  <si>
    <t>C3314</t>
  </si>
  <si>
    <t>Mantenimiento y reparación especializado de equipo eléctrico</t>
  </si>
  <si>
    <t>3314</t>
  </si>
  <si>
    <t>C3315</t>
  </si>
  <si>
    <t>Mantenimiento y reparación especializado de equipo de transporte, excepto los vehículos automotores, motocicletas y bicicletas</t>
  </si>
  <si>
    <t>3315</t>
  </si>
  <si>
    <t>C3319</t>
  </si>
  <si>
    <t>Mantenimiento y reparación de otros tipos de equipos y sus componentes n.c.p.</t>
  </si>
  <si>
    <t>3319</t>
  </si>
  <si>
    <t>C3320</t>
  </si>
  <si>
    <t>Instalación especializada de maquinaria y equipo industrial</t>
  </si>
  <si>
    <t>3320</t>
  </si>
  <si>
    <t xml:space="preserve">Instalación especializada de maquinaria y equipo industrial </t>
  </si>
  <si>
    <t>D</t>
  </si>
  <si>
    <t>35</t>
  </si>
  <si>
    <t>D3511</t>
  </si>
  <si>
    <t>Generación de energía eléctrica</t>
  </si>
  <si>
    <t>3511</t>
  </si>
  <si>
    <t>D3512</t>
  </si>
  <si>
    <t>Transmisión de energía eléctrica</t>
  </si>
  <si>
    <t>3512</t>
  </si>
  <si>
    <t>D3513</t>
  </si>
  <si>
    <t>3513</t>
  </si>
  <si>
    <t>Distribución de energía eléctrica</t>
  </si>
  <si>
    <t>D3514</t>
  </si>
  <si>
    <t>Comercialización de energía eléctrica</t>
  </si>
  <si>
    <t>3514</t>
  </si>
  <si>
    <t>D3520</t>
  </si>
  <si>
    <t>Producción de gas; distribución de combustibles gaseosos por tuberías</t>
  </si>
  <si>
    <t>3520</t>
  </si>
  <si>
    <t>D3530</t>
  </si>
  <si>
    <t>Suministro de vapor y aire acondicionado</t>
  </si>
  <si>
    <t>3530</t>
  </si>
  <si>
    <t>E</t>
  </si>
  <si>
    <t>36</t>
  </si>
  <si>
    <t>E3600</t>
  </si>
  <si>
    <t>Captación, tratamiento y distribución de agua</t>
  </si>
  <si>
    <t>3600</t>
  </si>
  <si>
    <t>37</t>
  </si>
  <si>
    <t>E3700</t>
  </si>
  <si>
    <t>Evacuación y tratamiento de aguas residuales</t>
  </si>
  <si>
    <t>3700</t>
  </si>
  <si>
    <t>38</t>
  </si>
  <si>
    <t>E3811</t>
  </si>
  <si>
    <t>Recolección de desechos no peligrosos</t>
  </si>
  <si>
    <t>3811</t>
  </si>
  <si>
    <t>E3821</t>
  </si>
  <si>
    <t>Tratamiento y disposición de desechos no peligrosos</t>
  </si>
  <si>
    <t>3821</t>
  </si>
  <si>
    <t>E3822</t>
  </si>
  <si>
    <t>Tratamiento y disposición de desechos peligrosos</t>
  </si>
  <si>
    <t>3822</t>
  </si>
  <si>
    <t>E3830</t>
  </si>
  <si>
    <t>Recuperación de materiales</t>
  </si>
  <si>
    <t>3830</t>
  </si>
  <si>
    <t>39</t>
  </si>
  <si>
    <t>E3900</t>
  </si>
  <si>
    <t>Actividades de saneamiento ambiental y otros servicios de gestión de desechos</t>
  </si>
  <si>
    <t>3900</t>
  </si>
  <si>
    <t>F</t>
  </si>
  <si>
    <t>41</t>
  </si>
  <si>
    <t>F4111</t>
  </si>
  <si>
    <t>Construcción de edificios residenciales</t>
  </si>
  <si>
    <t>4111</t>
  </si>
  <si>
    <t>F4112</t>
  </si>
  <si>
    <t>Construcción de edificios no residenciales</t>
  </si>
  <si>
    <t>4112</t>
  </si>
  <si>
    <t>42</t>
  </si>
  <si>
    <t>F4210</t>
  </si>
  <si>
    <t>Construcción de carreteras y vías de ferrocarril</t>
  </si>
  <si>
    <t>4210</t>
  </si>
  <si>
    <t>F4220</t>
  </si>
  <si>
    <t>Construcción de proyectos de servicio público</t>
  </si>
  <si>
    <t>4220</t>
  </si>
  <si>
    <t>F4290</t>
  </si>
  <si>
    <t>Construcción de otras obras de ingeniería civil</t>
  </si>
  <si>
    <t>4290</t>
  </si>
  <si>
    <t>43</t>
  </si>
  <si>
    <t>F4311</t>
  </si>
  <si>
    <t>Demolición</t>
  </si>
  <si>
    <t>4311</t>
  </si>
  <si>
    <t>F4312</t>
  </si>
  <si>
    <t>Preparación del terreno</t>
  </si>
  <si>
    <t>4312</t>
  </si>
  <si>
    <t>F4321</t>
  </si>
  <si>
    <t>Instalaciones eléctricas</t>
  </si>
  <si>
    <t>4321</t>
  </si>
  <si>
    <t>F4322</t>
  </si>
  <si>
    <t>Instalaciones de fontanería, calefacción y aire acondicionado</t>
  </si>
  <si>
    <t>4322</t>
  </si>
  <si>
    <t>F4329</t>
  </si>
  <si>
    <t>Otras instalaciones especializadas</t>
  </si>
  <si>
    <t>4329</t>
  </si>
  <si>
    <t>F4330</t>
  </si>
  <si>
    <t>Terminación y acabado de edificios y obras de ingeniería civil</t>
  </si>
  <si>
    <t>4330</t>
  </si>
  <si>
    <t>F4390</t>
  </si>
  <si>
    <t>Otras actividades especializadas para la construcción de edificios y obras de ingeniería civil</t>
  </si>
  <si>
    <t>4390</t>
  </si>
  <si>
    <t>G</t>
  </si>
  <si>
    <t>45</t>
  </si>
  <si>
    <t>G4511</t>
  </si>
  <si>
    <t>Comercio de vehículos automotores nuevos</t>
  </si>
  <si>
    <t>4511</t>
  </si>
  <si>
    <t>G4512</t>
  </si>
  <si>
    <t>Comercio de vehículos automotores usados</t>
  </si>
  <si>
    <t>4512</t>
  </si>
  <si>
    <t>G4520</t>
  </si>
  <si>
    <t>Mantenimiento y reparación de vehículos automotores</t>
  </si>
  <si>
    <t>4520</t>
  </si>
  <si>
    <t>G4530</t>
  </si>
  <si>
    <t>Comercio de partes, piezas (autopartes) y accesorios (lujos) para vehículos automotores</t>
  </si>
  <si>
    <t>4530</t>
  </si>
  <si>
    <t>G4541</t>
  </si>
  <si>
    <t>Comercio de motocicletas y de sus partes, piezas y accesorios</t>
  </si>
  <si>
    <t>4541</t>
  </si>
  <si>
    <t>G4542</t>
  </si>
  <si>
    <t>Mantenimiento y reparación de motocicletas y de sus partes y piezas</t>
  </si>
  <si>
    <t>4542</t>
  </si>
  <si>
    <t>46</t>
  </si>
  <si>
    <t>G4610</t>
  </si>
  <si>
    <t>Comercio al por mayor a cambio de una retribución o por contrata</t>
  </si>
  <si>
    <t>4610</t>
  </si>
  <si>
    <t>G4620</t>
  </si>
  <si>
    <t>Comercio al por mayor de materias primas agropecuarias; animales vivos</t>
  </si>
  <si>
    <t>4620</t>
  </si>
  <si>
    <t>G4631</t>
  </si>
  <si>
    <t>Comercio al por mayor de productos alimenticios</t>
  </si>
  <si>
    <t>4631</t>
  </si>
  <si>
    <t>G4632</t>
  </si>
  <si>
    <t>Comercio al por mayor de bebidas y tabaco</t>
  </si>
  <si>
    <t>4632</t>
  </si>
  <si>
    <t>G4641</t>
  </si>
  <si>
    <t>Comercio al por mayor de productos textiles, productos confeccionados para uso doméstico</t>
  </si>
  <si>
    <t>4641</t>
  </si>
  <si>
    <t>G4642</t>
  </si>
  <si>
    <t>Comercio al por mayor de prendas de vestir</t>
  </si>
  <si>
    <t>4642</t>
  </si>
  <si>
    <t>G4643</t>
  </si>
  <si>
    <t>Comercio al por mayor de calzado</t>
  </si>
  <si>
    <t>4643</t>
  </si>
  <si>
    <t>G4644</t>
  </si>
  <si>
    <t>Comercio al por mayor de aparatos y equipo de uso doméstico</t>
  </si>
  <si>
    <t>4644</t>
  </si>
  <si>
    <t>G4645</t>
  </si>
  <si>
    <t>Comercio al por mayor de productos farmacéuticos, medicinales, cosméticos y de tocador</t>
  </si>
  <si>
    <t>4645</t>
  </si>
  <si>
    <t>G4649</t>
  </si>
  <si>
    <t>Comercio al por mayor de otros utensilios domésticos n.c.p.</t>
  </si>
  <si>
    <t>4649</t>
  </si>
  <si>
    <t>G4651</t>
  </si>
  <si>
    <t>Comercio al por mayor de computadores, equipo periférico y programas de informática</t>
  </si>
  <si>
    <t>4651</t>
  </si>
  <si>
    <t>G4652</t>
  </si>
  <si>
    <t>Comercio al por mayor de equipo, partes y piezas electrónicos y de telecomunicaciones</t>
  </si>
  <si>
    <t>4652</t>
  </si>
  <si>
    <t>G4653</t>
  </si>
  <si>
    <t>Comercio al por mayor de maquinaria y equipo agropecuarios</t>
  </si>
  <si>
    <t>4653</t>
  </si>
  <si>
    <t>G4659</t>
  </si>
  <si>
    <t>Comercio al por mayor de otros tipos de maquinaria y equipo n.c.p.</t>
  </si>
  <si>
    <t>4659</t>
  </si>
  <si>
    <t>G4661</t>
  </si>
  <si>
    <t>Comercio al por mayor de combustibles sólidos, líquidos, gaseosos y productos conexos</t>
  </si>
  <si>
    <t>4661</t>
  </si>
  <si>
    <t>G4662</t>
  </si>
  <si>
    <t>Comercio al por mayor de metales y productos metalíferos</t>
  </si>
  <si>
    <t>4662</t>
  </si>
  <si>
    <t>G4663</t>
  </si>
  <si>
    <t>Comercio al por mayor de materiales de construcción, artículos de ferretería, pinturas, productos de vidrio, equipo y materiales de fontanería y calefacción</t>
  </si>
  <si>
    <t>4663</t>
  </si>
  <si>
    <t>G4664</t>
  </si>
  <si>
    <t>Comercio al por mayor de productos químicos básicos, cauchos y plásticos en formas primarias y productos químicos de uso agropecuario</t>
  </si>
  <si>
    <t>4664</t>
  </si>
  <si>
    <t>G4665</t>
  </si>
  <si>
    <t>Comercio al por mayor de desperdicios, desechos y chatarra</t>
  </si>
  <si>
    <t>4665</t>
  </si>
  <si>
    <t>G4669</t>
  </si>
  <si>
    <t>Comercio al por mayor de otros productos n.c.p.</t>
  </si>
  <si>
    <t>4669</t>
  </si>
  <si>
    <t>G4690</t>
  </si>
  <si>
    <t>Comercio al por mayor no especializado</t>
  </si>
  <si>
    <t>4690</t>
  </si>
  <si>
    <t>47</t>
  </si>
  <si>
    <t>G4711</t>
  </si>
  <si>
    <t>Comercio al por menor en establecimientos no especializados con surtido compuesto principalmente por alimentos, bebidas o tabaco</t>
  </si>
  <si>
    <t>4711</t>
  </si>
  <si>
    <t>G4719</t>
  </si>
  <si>
    <t>Comercio al por menor en establecimientos no especializados, con surtido compuesto principalmente por productos diferentes de alimentos (víveres en general), bebidas y tabaco</t>
  </si>
  <si>
    <t>4719</t>
  </si>
  <si>
    <t>G4721</t>
  </si>
  <si>
    <t>Comercio al por menor de productos agrícolas para el consumo en establecimientos especializados</t>
  </si>
  <si>
    <t>4721</t>
  </si>
  <si>
    <t>G4722</t>
  </si>
  <si>
    <t>Comercio al por menor de leche, productos lácteos y huevos, en establecimientos especializados</t>
  </si>
  <si>
    <t>4722</t>
  </si>
  <si>
    <t>G4723</t>
  </si>
  <si>
    <t>Comercio al por menor de carnes (incluye aves de corral), productos cárnicos, pescados y productos de mar, en establecimientos especializados</t>
  </si>
  <si>
    <t>4723</t>
  </si>
  <si>
    <t>G4724</t>
  </si>
  <si>
    <t>Comercio al por menor de bebidas y productos del tabaco, en establecimientos especializados</t>
  </si>
  <si>
    <t>4724</t>
  </si>
  <si>
    <t>G4729</t>
  </si>
  <si>
    <t>Comercio al por menor de otros productos alimenticios n.c.p., en establecimientos especializados</t>
  </si>
  <si>
    <t>4729</t>
  </si>
  <si>
    <t>G4731</t>
  </si>
  <si>
    <t>Comercio al por menor de combustible para automotores</t>
  </si>
  <si>
    <t>4731</t>
  </si>
  <si>
    <t>G4732</t>
  </si>
  <si>
    <t>Comercio al por menor de lubricantes (aceites, grasas), aditivos y productos de limpieza para vehículos automotores</t>
  </si>
  <si>
    <t>4732</t>
  </si>
  <si>
    <t>G4741</t>
  </si>
  <si>
    <t>Comercio al por menor de computadores, equipos periféricos, programas de informática y equipos de telecomunicaciones en establecimientos especializados</t>
  </si>
  <si>
    <t>4741</t>
  </si>
  <si>
    <t>G4742</t>
  </si>
  <si>
    <t>Comercio al por menor de equipos y aparatos de sonido y de video, en establecimientos especializados</t>
  </si>
  <si>
    <t>4742</t>
  </si>
  <si>
    <t>G4751</t>
  </si>
  <si>
    <t>Comercio al por menor de productos textiles en establecimientos especializados</t>
  </si>
  <si>
    <t>4751</t>
  </si>
  <si>
    <t>G4752</t>
  </si>
  <si>
    <t>Comercio al por menor de artículos de ferretería, pinturas y productos de vidrio en establecimientos especializados</t>
  </si>
  <si>
    <t>4752</t>
  </si>
  <si>
    <t>G4753</t>
  </si>
  <si>
    <t>Comercio al por menor de tapices, alfombras y cubrimientos para paredes y pisos en establecimientos especializados</t>
  </si>
  <si>
    <t>4753</t>
  </si>
  <si>
    <t>G4754</t>
  </si>
  <si>
    <t>Comercio al por menor de electrodomésticos y gasodomésticos de uso doméstico, muebles y equipos de iluminación</t>
  </si>
  <si>
    <t>4754</t>
  </si>
  <si>
    <t>G4755</t>
  </si>
  <si>
    <t>Comercio al por menor de artículos y utensilios de uso doméstico</t>
  </si>
  <si>
    <t>4755</t>
  </si>
  <si>
    <t>G4759</t>
  </si>
  <si>
    <t>Comercio al por menor de otros artículos domésticos en establecimientos especializados</t>
  </si>
  <si>
    <t>4759</t>
  </si>
  <si>
    <t>G4761</t>
  </si>
  <si>
    <t>Comercio al por menor de libros, periódicos, materiales y artículos de papelería y escritorio, en establecimientos especializados</t>
  </si>
  <si>
    <t>4761</t>
  </si>
  <si>
    <t>G4762</t>
  </si>
  <si>
    <t>Comercio al por menor de artículos deportivos, en establecimientos especializados</t>
  </si>
  <si>
    <t>4762</t>
  </si>
  <si>
    <t xml:space="preserve">Comercio al por menor de artículos deportivos, en establecimientos especializados </t>
  </si>
  <si>
    <t>G4769</t>
  </si>
  <si>
    <t>Comercio al por menor de otros artículos culturales y de entretenimiento n.c.p. en establecimientos especializados</t>
  </si>
  <si>
    <t>4769</t>
  </si>
  <si>
    <t>G4771</t>
  </si>
  <si>
    <t>Comercio al por menor de prendas de vestir y sus accesorios (incluye artículos de piel) en establecimientos especializados</t>
  </si>
  <si>
    <t>4771</t>
  </si>
  <si>
    <t>G4772</t>
  </si>
  <si>
    <t>Comercio al por menor de todo tipo de calzado y artículos de cuero y sucedáneos del cuero en establecimientos especializados</t>
  </si>
  <si>
    <t>4772</t>
  </si>
  <si>
    <t>Comercio al por menor de todo tipo de calzado y artículos de cuero y sucedáneos del cuero en establecimientos especializados.</t>
  </si>
  <si>
    <t>G4773</t>
  </si>
  <si>
    <t>Comercio al por menor de productos farmacéuticos y medicinales, cosméticos y artículos de tocador en establecimientos especializados</t>
  </si>
  <si>
    <t>4773</t>
  </si>
  <si>
    <t>G4774</t>
  </si>
  <si>
    <t>Comercio al por menor de otros productos nuevos en establecimientos especializados</t>
  </si>
  <si>
    <t>4774</t>
  </si>
  <si>
    <t>G4775</t>
  </si>
  <si>
    <t>Comercio al por menor de artículos de segunda mano</t>
  </si>
  <si>
    <t>4775</t>
  </si>
  <si>
    <t>G4781</t>
  </si>
  <si>
    <t>Comercio al por menor de alimentos, bebidas y tabaco, en puestos de venta móviles</t>
  </si>
  <si>
    <t>4781</t>
  </si>
  <si>
    <t>G4791</t>
  </si>
  <si>
    <t>Comercio al por menor realizado a través de internet</t>
  </si>
  <si>
    <t>4791</t>
  </si>
  <si>
    <t>Comercio al por menor realizado a través de Internet</t>
  </si>
  <si>
    <t>G4792</t>
  </si>
  <si>
    <t>4792</t>
  </si>
  <si>
    <t>Comercio al por menor realizado a través de casas de venta o por correo</t>
  </si>
  <si>
    <t>G4799</t>
  </si>
  <si>
    <t>Otros tipos de comercio al por menor no realizado en establecimientos, puestos de venta o mercados</t>
  </si>
  <si>
    <t>4799</t>
  </si>
  <si>
    <t>Otros tipos de comercio al por menor no realizado en establecimientos, puestos de venta o mercados.</t>
  </si>
  <si>
    <t>H</t>
  </si>
  <si>
    <t>49</t>
  </si>
  <si>
    <t>H4911</t>
  </si>
  <si>
    <t>Transporte férreo de pasajeros</t>
  </si>
  <si>
    <t>4911</t>
  </si>
  <si>
    <t>H4912</t>
  </si>
  <si>
    <t>Transporte férreo de carga</t>
  </si>
  <si>
    <t>4912</t>
  </si>
  <si>
    <t xml:space="preserve">Transporte férreo de carga </t>
  </si>
  <si>
    <t>H4921</t>
  </si>
  <si>
    <t>Transporte de pasajeros</t>
  </si>
  <si>
    <t>4921</t>
  </si>
  <si>
    <t>H4923</t>
  </si>
  <si>
    <t>Transporte de carga por carretera</t>
  </si>
  <si>
    <t>4923</t>
  </si>
  <si>
    <t>H4930</t>
  </si>
  <si>
    <t>Transporte por tuberías</t>
  </si>
  <si>
    <t>4930</t>
  </si>
  <si>
    <t>50</t>
  </si>
  <si>
    <t>H5011</t>
  </si>
  <si>
    <t>Transporte de pasajeros marítimo y de cabotaje</t>
  </si>
  <si>
    <t>5011</t>
  </si>
  <si>
    <t xml:space="preserve">Transporte de pasajeros marítimo y de cabotaje </t>
  </si>
  <si>
    <t>H5012</t>
  </si>
  <si>
    <t>Transporte de carga marítimo y de cabotaje</t>
  </si>
  <si>
    <t>5012</t>
  </si>
  <si>
    <t xml:space="preserve">Transporte de carga marítimo y de cabotaje </t>
  </si>
  <si>
    <t>H5022</t>
  </si>
  <si>
    <t>Transporte fluvial de carga</t>
  </si>
  <si>
    <t>5022</t>
  </si>
  <si>
    <t>51</t>
  </si>
  <si>
    <t>H5111</t>
  </si>
  <si>
    <t>Transporte aéreo nacional de pasajeros</t>
  </si>
  <si>
    <t>5111</t>
  </si>
  <si>
    <t xml:space="preserve">Transporte aéreo nacional de pasajeros </t>
  </si>
  <si>
    <t>H5121</t>
  </si>
  <si>
    <t>Transporte aéreo nacional de carga</t>
  </si>
  <si>
    <t>5121</t>
  </si>
  <si>
    <t xml:space="preserve">Transporte aéreo nacional de carga </t>
  </si>
  <si>
    <t>H5122</t>
  </si>
  <si>
    <t>Transporte aéreo internacional de carga</t>
  </si>
  <si>
    <t>5122</t>
  </si>
  <si>
    <t xml:space="preserve">Transporte aéreo internacional de carga </t>
  </si>
  <si>
    <t>52</t>
  </si>
  <si>
    <t>H5210</t>
  </si>
  <si>
    <t>Almacenamiento y depósito</t>
  </si>
  <si>
    <t>5210</t>
  </si>
  <si>
    <t>H5221</t>
  </si>
  <si>
    <t>Actividades de estaciones, vías y servicios complementarios para el transporte terrestre</t>
  </si>
  <si>
    <t>5221</t>
  </si>
  <si>
    <t>H5222</t>
  </si>
  <si>
    <t>Actividades de puertos y servicios complementarios para el transporte acuático</t>
  </si>
  <si>
    <t>5222</t>
  </si>
  <si>
    <t>H5223</t>
  </si>
  <si>
    <t>Actividades de aeropuertos, servicios de navegación aérea y demás actividades conexas al transporte aéreo</t>
  </si>
  <si>
    <t>5223</t>
  </si>
  <si>
    <t>H5224</t>
  </si>
  <si>
    <t>Manipulación de carga</t>
  </si>
  <si>
    <t>5224</t>
  </si>
  <si>
    <t>H5229</t>
  </si>
  <si>
    <t>Otras actividades complementarias al transporte</t>
  </si>
  <si>
    <t>5229</t>
  </si>
  <si>
    <t>53</t>
  </si>
  <si>
    <t>H5310</t>
  </si>
  <si>
    <t>Actividades postales nacionales</t>
  </si>
  <si>
    <t>5310</t>
  </si>
  <si>
    <t>H5320</t>
  </si>
  <si>
    <t>Actividades de mensajería</t>
  </si>
  <si>
    <t>5320</t>
  </si>
  <si>
    <t>I</t>
  </si>
  <si>
    <t>55</t>
  </si>
  <si>
    <t>I5511</t>
  </si>
  <si>
    <t>Alojamiento en hoteles</t>
  </si>
  <si>
    <t>5511</t>
  </si>
  <si>
    <t xml:space="preserve">Alojamiento en hoteles </t>
  </si>
  <si>
    <t>I5512</t>
  </si>
  <si>
    <t>Alojamiento en apartahoteles</t>
  </si>
  <si>
    <t>5512</t>
  </si>
  <si>
    <t>I5513</t>
  </si>
  <si>
    <t>Alojamiento en centros vacacionales</t>
  </si>
  <si>
    <t>5513</t>
  </si>
  <si>
    <t xml:space="preserve">Alojamiento en centros vacacionales </t>
  </si>
  <si>
    <t>I5519</t>
  </si>
  <si>
    <t>Otros tipos de alojamientos para visitantes</t>
  </si>
  <si>
    <t>5519</t>
  </si>
  <si>
    <t>I5530</t>
  </si>
  <si>
    <t>Servicio por horas</t>
  </si>
  <si>
    <t>5530</t>
  </si>
  <si>
    <t xml:space="preserve">Servicio por horas </t>
  </si>
  <si>
    <t>I5590</t>
  </si>
  <si>
    <t>Otros tipos de alojamiento n.c.p.</t>
  </si>
  <si>
    <t>5590</t>
  </si>
  <si>
    <t>56</t>
  </si>
  <si>
    <t>I5611</t>
  </si>
  <si>
    <t>Expendio a la mesa de comidas preparadas</t>
  </si>
  <si>
    <t>5611</t>
  </si>
  <si>
    <t>I5612</t>
  </si>
  <si>
    <t>Expendio por autoservicio de comidas preparadas</t>
  </si>
  <si>
    <t>5612</t>
  </si>
  <si>
    <t>I5613</t>
  </si>
  <si>
    <t>Expendio de comidas preparadas en cafeterías</t>
  </si>
  <si>
    <t>5613</t>
  </si>
  <si>
    <t>I5619</t>
  </si>
  <si>
    <t>Otros tipos de expendio de comidas preparadas n.c.p.</t>
  </si>
  <si>
    <t>5619</t>
  </si>
  <si>
    <t>I5621</t>
  </si>
  <si>
    <t>Catering para eventos</t>
  </si>
  <si>
    <t>5621</t>
  </si>
  <si>
    <t>I5629</t>
  </si>
  <si>
    <t>Actividades de otros servicios de comidas</t>
  </si>
  <si>
    <t>5629</t>
  </si>
  <si>
    <t>I5630</t>
  </si>
  <si>
    <t>Expendio de bebidas alcohólicas para el consumo dentro del establecimiento</t>
  </si>
  <si>
    <t>5630</t>
  </si>
  <si>
    <t>J</t>
  </si>
  <si>
    <t>58</t>
  </si>
  <si>
    <t>J5811</t>
  </si>
  <si>
    <t>Edición de libros</t>
  </si>
  <si>
    <t>5811</t>
  </si>
  <si>
    <t>J5813</t>
  </si>
  <si>
    <t>Edición de periódicos, revistas y otras publicaciones periódicas</t>
  </si>
  <si>
    <t>5813</t>
  </si>
  <si>
    <t>J5819</t>
  </si>
  <si>
    <t>Otros trabajos de edición</t>
  </si>
  <si>
    <t>5819</t>
  </si>
  <si>
    <t>J5820</t>
  </si>
  <si>
    <t>Edición de programas de informática (software)</t>
  </si>
  <si>
    <t>5820</t>
  </si>
  <si>
    <t>59</t>
  </si>
  <si>
    <t>J5911</t>
  </si>
  <si>
    <t>Actividades de producción de películas cinematográficas, videos, programas, anuncios y comerciales de televisión</t>
  </si>
  <si>
    <t>5911</t>
  </si>
  <si>
    <t>J5912</t>
  </si>
  <si>
    <t>Actividades de posproducción de películas cinematográficas, videos, programas, anuncios y comerciales de televisión</t>
  </si>
  <si>
    <t>5912</t>
  </si>
  <si>
    <t>J5913</t>
  </si>
  <si>
    <t>Actividades de distribución de películas cinematográficas, videos, programas, anuncios y comerciales de televisión</t>
  </si>
  <si>
    <t>5913</t>
  </si>
  <si>
    <t>J5914</t>
  </si>
  <si>
    <t>Actividades de exhibición de películas cinematográficas y videos</t>
  </si>
  <si>
    <t>5914</t>
  </si>
  <si>
    <t>J5920</t>
  </si>
  <si>
    <t>Actividades de grabación de sonido y edición de música</t>
  </si>
  <si>
    <t>5920</t>
  </si>
  <si>
    <t>60</t>
  </si>
  <si>
    <t>J6010</t>
  </si>
  <si>
    <t>Actividades de programación y transmisión en el servicio de radiodifusión sonora</t>
  </si>
  <si>
    <t>6010</t>
  </si>
  <si>
    <t>J6020</t>
  </si>
  <si>
    <t>Actividades de programación y transmisión de televisión</t>
  </si>
  <si>
    <t>6020</t>
  </si>
  <si>
    <t>61</t>
  </si>
  <si>
    <t>J6110</t>
  </si>
  <si>
    <t>Actividades de telecomunicaciones alámbricas</t>
  </si>
  <si>
    <t>6110</t>
  </si>
  <si>
    <t>J6120</t>
  </si>
  <si>
    <t>Actividades de telecomunicaciones inalámbricas</t>
  </si>
  <si>
    <t>6120</t>
  </si>
  <si>
    <t>J6130</t>
  </si>
  <si>
    <t>Actividades de telecomunicación satelital</t>
  </si>
  <si>
    <t>6130</t>
  </si>
  <si>
    <t>J6190</t>
  </si>
  <si>
    <t>Otras actividades de telecomunicaciones</t>
  </si>
  <si>
    <t>6190</t>
  </si>
  <si>
    <t>62</t>
  </si>
  <si>
    <t>J6201</t>
  </si>
  <si>
    <t>Actividades de desarrollo de sistemas informáticos (planificación, análisis, diseño, programación, pruebas)</t>
  </si>
  <si>
    <t>6201</t>
  </si>
  <si>
    <t>J6202</t>
  </si>
  <si>
    <t>Actividades de consultoría informática y actividades de administración de instalaciones informáticas</t>
  </si>
  <si>
    <t>6202</t>
  </si>
  <si>
    <t>J6209</t>
  </si>
  <si>
    <t>Otras actividades de tecnologías de información y actividades de servicios informáticos</t>
  </si>
  <si>
    <t>6209</t>
  </si>
  <si>
    <t>63</t>
  </si>
  <si>
    <t>J6311</t>
  </si>
  <si>
    <t>Procesamiento de datos, alojamiento (hosting) y actividades relacionadas</t>
  </si>
  <si>
    <t>6311</t>
  </si>
  <si>
    <t>J6312</t>
  </si>
  <si>
    <t>Portales web</t>
  </si>
  <si>
    <t>6312</t>
  </si>
  <si>
    <t>J6391</t>
  </si>
  <si>
    <t>Actividades de agencias de noticias</t>
  </si>
  <si>
    <t>6391</t>
  </si>
  <si>
    <t>J6399</t>
  </si>
  <si>
    <t>Otras actividades de servicio de información n.c.p.</t>
  </si>
  <si>
    <t>6399</t>
  </si>
  <si>
    <t>K</t>
  </si>
  <si>
    <t>64</t>
  </si>
  <si>
    <t>K6412</t>
  </si>
  <si>
    <t>6412</t>
  </si>
  <si>
    <t>Bancos comerciales</t>
  </si>
  <si>
    <t>K6421</t>
  </si>
  <si>
    <t>Actividades de las corporaciones financieras</t>
  </si>
  <si>
    <t>6421</t>
  </si>
  <si>
    <t>K6422</t>
  </si>
  <si>
    <t>Actividades de las compañías de financiamiento</t>
  </si>
  <si>
    <t>6422</t>
  </si>
  <si>
    <t>K6423</t>
  </si>
  <si>
    <t>6423</t>
  </si>
  <si>
    <t>Banca de segundo piso</t>
  </si>
  <si>
    <t>K6424</t>
  </si>
  <si>
    <t>Actividades de las cooperativas financieras</t>
  </si>
  <si>
    <t>6424</t>
  </si>
  <si>
    <t>K6431</t>
  </si>
  <si>
    <t>Fideicomisos, fondos y entidades financieras similares</t>
  </si>
  <si>
    <t>6431</t>
  </si>
  <si>
    <t>K6492</t>
  </si>
  <si>
    <t>6492</t>
  </si>
  <si>
    <t>Actividades financieras de fondos de empleados y otras formas asociativas del sector solidario</t>
  </si>
  <si>
    <t>K6493</t>
  </si>
  <si>
    <t>Actividades de compra de cartera o factoring</t>
  </si>
  <si>
    <t>6493</t>
  </si>
  <si>
    <t>K6494</t>
  </si>
  <si>
    <t>Otras actividades de distribución de fondos</t>
  </si>
  <si>
    <t>6494</t>
  </si>
  <si>
    <t>K6495</t>
  </si>
  <si>
    <t>Instituciones especiales oficiales</t>
  </si>
  <si>
    <t>6495</t>
  </si>
  <si>
    <t>K6499</t>
  </si>
  <si>
    <t>Otras actividades de servicio financiero, excepto las de seguros y pensiones n.c.p.</t>
  </si>
  <si>
    <t>6499</t>
  </si>
  <si>
    <t>65</t>
  </si>
  <si>
    <t>K6511</t>
  </si>
  <si>
    <t>Seguros generales</t>
  </si>
  <si>
    <t>6511</t>
  </si>
  <si>
    <t xml:space="preserve">Seguros generales </t>
  </si>
  <si>
    <t>K6514</t>
  </si>
  <si>
    <t>Capitalización</t>
  </si>
  <si>
    <t>6514</t>
  </si>
  <si>
    <t>K6521</t>
  </si>
  <si>
    <t>Servicios de seguros sociales de salud</t>
  </si>
  <si>
    <t>6521</t>
  </si>
  <si>
    <t>K6522</t>
  </si>
  <si>
    <t>6522</t>
  </si>
  <si>
    <t>Servicios de seguros sociales de riesgos profesionales</t>
  </si>
  <si>
    <t>K6532</t>
  </si>
  <si>
    <t>6532</t>
  </si>
  <si>
    <t>Régimen de ahorro individual (RAI)</t>
  </si>
  <si>
    <t>66</t>
  </si>
  <si>
    <t>K6611</t>
  </si>
  <si>
    <t>Administración de mercados financieros</t>
  </si>
  <si>
    <t>6611</t>
  </si>
  <si>
    <t>K6612</t>
  </si>
  <si>
    <t>Corretaje de valores y de contratos de productos básicos</t>
  </si>
  <si>
    <t>6612</t>
  </si>
  <si>
    <t>K6613</t>
  </si>
  <si>
    <t>Otras actividades relacionadas con el mercado de valores</t>
  </si>
  <si>
    <t>6613</t>
  </si>
  <si>
    <t>K6614</t>
  </si>
  <si>
    <t>Actividades de las casas de cambio</t>
  </si>
  <si>
    <t>6614</t>
  </si>
  <si>
    <t>K6615</t>
  </si>
  <si>
    <t>Actividades de los profesionales de compra y venta de divisas</t>
  </si>
  <si>
    <t>6615</t>
  </si>
  <si>
    <t>K6619</t>
  </si>
  <si>
    <t>Otras actividades auxiliares de las actividades de servicios financieros n.c.p.</t>
  </si>
  <si>
    <t>6619</t>
  </si>
  <si>
    <t>K6621</t>
  </si>
  <si>
    <t>Actividades de agentes y corredores de seguros</t>
  </si>
  <si>
    <t>6621</t>
  </si>
  <si>
    <t>K6629</t>
  </si>
  <si>
    <t>Evaluación de riesgos y daños, y otras actividades de servicios auxiliares</t>
  </si>
  <si>
    <t>6629</t>
  </si>
  <si>
    <t>K6630</t>
  </si>
  <si>
    <t>Actividades de administración de fondos</t>
  </si>
  <si>
    <t>6630</t>
  </si>
  <si>
    <t>L</t>
  </si>
  <si>
    <t>68</t>
  </si>
  <si>
    <t>L6810</t>
  </si>
  <si>
    <t>Actividades inmobiliarias realizadas con bienes propios o arrendados</t>
  </si>
  <si>
    <t>6810</t>
  </si>
  <si>
    <t>L6820</t>
  </si>
  <si>
    <t>Actividades inmobiliarias realizadas a cambio de una retribución o por contrata</t>
  </si>
  <si>
    <t>6820</t>
  </si>
  <si>
    <t xml:space="preserve">Actividades inmobiliarias realizadas a cambio de una retribución o por contrata </t>
  </si>
  <si>
    <t>M</t>
  </si>
  <si>
    <t>69</t>
  </si>
  <si>
    <t>M6910</t>
  </si>
  <si>
    <t>Actividades jurídicas</t>
  </si>
  <si>
    <t>6910</t>
  </si>
  <si>
    <t>M6920</t>
  </si>
  <si>
    <t>Actividades de contabilidad, teneduría de libros, auditoría financiera y asesoría tributaria</t>
  </si>
  <si>
    <t>6920</t>
  </si>
  <si>
    <t>70</t>
  </si>
  <si>
    <t>M7010</t>
  </si>
  <si>
    <t>Actividades de administración empresarial</t>
  </si>
  <si>
    <t>7010</t>
  </si>
  <si>
    <t>M7020</t>
  </si>
  <si>
    <t>Actividades de consultaría de gestión</t>
  </si>
  <si>
    <t>7020</t>
  </si>
  <si>
    <t>71</t>
  </si>
  <si>
    <t>M7110</t>
  </si>
  <si>
    <t>Actividades de arquitectura e ingeniería y otras actividades conexas de consultoría técnica</t>
  </si>
  <si>
    <t>7110</t>
  </si>
  <si>
    <t>M7120</t>
  </si>
  <si>
    <t>Ensayos y análisis técnicos</t>
  </si>
  <si>
    <t>7120</t>
  </si>
  <si>
    <t>72</t>
  </si>
  <si>
    <t>M7210</t>
  </si>
  <si>
    <t>Investigaciones y desarrollo experimental en el campo de las ciencias naturales y la ingeniería</t>
  </si>
  <si>
    <t>7210</t>
  </si>
  <si>
    <t xml:space="preserve">Investigaciones y desarrollo experimental en el campo de las ciencias naturales y la ingeniería </t>
  </si>
  <si>
    <t>M7220</t>
  </si>
  <si>
    <t>Investigaciones y desarrollo experimental en el campo de las ciencias sociales y las humanidades</t>
  </si>
  <si>
    <t>7220</t>
  </si>
  <si>
    <t>73</t>
  </si>
  <si>
    <t>M7310</t>
  </si>
  <si>
    <t>Publicidad</t>
  </si>
  <si>
    <t>7310</t>
  </si>
  <si>
    <t>M7320</t>
  </si>
  <si>
    <t>Estudios de mercado y realización de encuestas de opinión pública</t>
  </si>
  <si>
    <t>7320</t>
  </si>
  <si>
    <t>74</t>
  </si>
  <si>
    <t>M7410</t>
  </si>
  <si>
    <t>Actividades especializadas de diseño</t>
  </si>
  <si>
    <t>7410</t>
  </si>
  <si>
    <t xml:space="preserve">Actividades especializadas de diseño </t>
  </si>
  <si>
    <t>M7420</t>
  </si>
  <si>
    <t>Actividades de fotografía</t>
  </si>
  <si>
    <t>7420</t>
  </si>
  <si>
    <t>M7490</t>
  </si>
  <si>
    <t>Otras actividades profesionales, científicas y técnicas n.c.p.</t>
  </si>
  <si>
    <t>7490</t>
  </si>
  <si>
    <t>N</t>
  </si>
  <si>
    <t>77</t>
  </si>
  <si>
    <t>N7710</t>
  </si>
  <si>
    <t>Alquiler y arrendamiento de vehículos automotores</t>
  </si>
  <si>
    <t>7710</t>
  </si>
  <si>
    <t>N7721</t>
  </si>
  <si>
    <t>Alquiler y arrendamiento de equipo recreativo y deportivo</t>
  </si>
  <si>
    <t>7721</t>
  </si>
  <si>
    <t>N7730</t>
  </si>
  <si>
    <t>Alquiler y arrendamiento de otros tipos de maquinaria, equipo y bienes tangibles n.c.p.</t>
  </si>
  <si>
    <t>7730</t>
  </si>
  <si>
    <t>N7740</t>
  </si>
  <si>
    <t>Arrendamiento de propiedad intelectual y productos similares, excepto obras protegidas por derechos de autor</t>
  </si>
  <si>
    <t>7740</t>
  </si>
  <si>
    <t>78</t>
  </si>
  <si>
    <t>N7810</t>
  </si>
  <si>
    <t>Actividades de agencias de empleo</t>
  </si>
  <si>
    <t>7810</t>
  </si>
  <si>
    <t>N7820</t>
  </si>
  <si>
    <t>Actividades de agencias de empleo temporal</t>
  </si>
  <si>
    <t>7820</t>
  </si>
  <si>
    <t>N7830</t>
  </si>
  <si>
    <t>Otras actividades de suministro de recurso humano</t>
  </si>
  <si>
    <t>7830</t>
  </si>
  <si>
    <t>79</t>
  </si>
  <si>
    <t>N7911</t>
  </si>
  <si>
    <t>Actividades de las agencias de viaje</t>
  </si>
  <si>
    <t>7911</t>
  </si>
  <si>
    <t>N7912</t>
  </si>
  <si>
    <t>Actividades de operadores turísticos</t>
  </si>
  <si>
    <t>7912</t>
  </si>
  <si>
    <t>N7990</t>
  </si>
  <si>
    <t>Otros servicios de reserva y actividades relacionadas</t>
  </si>
  <si>
    <t>7990</t>
  </si>
  <si>
    <t>80</t>
  </si>
  <si>
    <t>N8010</t>
  </si>
  <si>
    <t>Actividades de seguridad privada</t>
  </si>
  <si>
    <t>8010</t>
  </si>
  <si>
    <t>N8020</t>
  </si>
  <si>
    <t>Actividades de servicios de sistemas de seguridad</t>
  </si>
  <si>
    <t>8020</t>
  </si>
  <si>
    <t>81</t>
  </si>
  <si>
    <t>N8110</t>
  </si>
  <si>
    <t>Actividades combinadas de apoyo a instalaciones</t>
  </si>
  <si>
    <t>8110</t>
  </si>
  <si>
    <t>N8121</t>
  </si>
  <si>
    <t>Limpieza general interior de edificios</t>
  </si>
  <si>
    <t>8121</t>
  </si>
  <si>
    <t>N8129</t>
  </si>
  <si>
    <t>Otras actividades de limpieza de edificios e instalaciones industriales</t>
  </si>
  <si>
    <t>8129</t>
  </si>
  <si>
    <t>N8130</t>
  </si>
  <si>
    <t>Actividades de paisajismo y servicios de mantenimiento conexos</t>
  </si>
  <si>
    <t>8130</t>
  </si>
  <si>
    <t>82</t>
  </si>
  <si>
    <t>N8211</t>
  </si>
  <si>
    <t>Actividades combinadas de servicios administrativos de oficina</t>
  </si>
  <si>
    <t>8211</t>
  </si>
  <si>
    <t>N8219</t>
  </si>
  <si>
    <t>Fotocopiado, preparación de documentos y otras actividades especializadas de apoyo a oficina</t>
  </si>
  <si>
    <t>8219</t>
  </si>
  <si>
    <t>N8220</t>
  </si>
  <si>
    <t>Actividades de centros de llamadas (Call center)</t>
  </si>
  <si>
    <t>8220</t>
  </si>
  <si>
    <t>N8230</t>
  </si>
  <si>
    <t>Organización de convenciones y eventos comerciales</t>
  </si>
  <si>
    <t>8230</t>
  </si>
  <si>
    <t>N8291</t>
  </si>
  <si>
    <t>Actividades de agencias de cobranza y oficinas de calificación crediticia</t>
  </si>
  <si>
    <t>8291</t>
  </si>
  <si>
    <t>N8292</t>
  </si>
  <si>
    <t>Actividades de envase y empaque</t>
  </si>
  <si>
    <t>8292</t>
  </si>
  <si>
    <t>N8299</t>
  </si>
  <si>
    <t>Otras actividades de servicio de apoyo a las empresas n.c.p.</t>
  </si>
  <si>
    <t>8299</t>
  </si>
  <si>
    <t>O</t>
  </si>
  <si>
    <t>84</t>
  </si>
  <si>
    <t>O8411</t>
  </si>
  <si>
    <t>8411</t>
  </si>
  <si>
    <t>Actividades legislativas de la administración pública</t>
  </si>
  <si>
    <t>O8413</t>
  </si>
  <si>
    <t>8413</t>
  </si>
  <si>
    <t xml:space="preserve">Regulación de las actividades de organismos que prestan servicios de salud, educativos, culturales y otros servicios sociales, excepto servicios de seguridad social </t>
  </si>
  <si>
    <t>O8414</t>
  </si>
  <si>
    <t>Actividades reguladoras y facilitadoras de la actividad económica</t>
  </si>
  <si>
    <t>8414</t>
  </si>
  <si>
    <t>O8415</t>
  </si>
  <si>
    <t>8415</t>
  </si>
  <si>
    <t>Actividades de los otros órganos de control</t>
  </si>
  <si>
    <t>O8423</t>
  </si>
  <si>
    <t>8423</t>
  </si>
  <si>
    <t>Orden público y actividades de seguridad</t>
  </si>
  <si>
    <t>O8430</t>
  </si>
  <si>
    <t>Actividades de planes de seguridad social de afiliación obligatoria</t>
  </si>
  <si>
    <t>8430</t>
  </si>
  <si>
    <t>P</t>
  </si>
  <si>
    <t>85</t>
  </si>
  <si>
    <t>P8511</t>
  </si>
  <si>
    <t>Educación de la primera infancia</t>
  </si>
  <si>
    <t>8511</t>
  </si>
  <si>
    <t>P8512</t>
  </si>
  <si>
    <t>Educación preescolar</t>
  </si>
  <si>
    <t>8512</t>
  </si>
  <si>
    <t>P8513</t>
  </si>
  <si>
    <t>Educación básica primaria</t>
  </si>
  <si>
    <t>8513</t>
  </si>
  <si>
    <t>P8521</t>
  </si>
  <si>
    <t>Educación básica secundaria</t>
  </si>
  <si>
    <t>8521</t>
  </si>
  <si>
    <t xml:space="preserve">Educación básica secundaria </t>
  </si>
  <si>
    <t>P8522</t>
  </si>
  <si>
    <t>Educación media académica</t>
  </si>
  <si>
    <t>8522</t>
  </si>
  <si>
    <t>P8523</t>
  </si>
  <si>
    <t>Educación media técnica y de formación laboral</t>
  </si>
  <si>
    <t>8523</t>
  </si>
  <si>
    <t>P8530</t>
  </si>
  <si>
    <t>Establecimientos que combinan diferentes niveles de educación</t>
  </si>
  <si>
    <t>8530</t>
  </si>
  <si>
    <t xml:space="preserve">Establecimientos que combinan diferentes niveles de educación </t>
  </si>
  <si>
    <t>P8542</t>
  </si>
  <si>
    <t>Educación tecnológica</t>
  </si>
  <si>
    <t>8542</t>
  </si>
  <si>
    <t>P8551</t>
  </si>
  <si>
    <t>Formación académica no formal</t>
  </si>
  <si>
    <t>8551</t>
  </si>
  <si>
    <t xml:space="preserve">Formación académica no formal </t>
  </si>
  <si>
    <t>P8553</t>
  </si>
  <si>
    <t>8553</t>
  </si>
  <si>
    <t>Enseñanza cultural</t>
  </si>
  <si>
    <t>P8559</t>
  </si>
  <si>
    <t>Otros tipos de educación n.c.p.</t>
  </si>
  <si>
    <t>8559</t>
  </si>
  <si>
    <t>P8560</t>
  </si>
  <si>
    <t>Actividades de apoyo a la educación</t>
  </si>
  <si>
    <t>8560</t>
  </si>
  <si>
    <t>Q</t>
  </si>
  <si>
    <t>86</t>
  </si>
  <si>
    <t>Q8610</t>
  </si>
  <si>
    <t>Actividades de hospitales y clínicas, con internación</t>
  </si>
  <si>
    <t>8610</t>
  </si>
  <si>
    <t>Q8621</t>
  </si>
  <si>
    <t>Actividades de la práctica médica, sin internación</t>
  </si>
  <si>
    <t>8621</t>
  </si>
  <si>
    <t>Q8622</t>
  </si>
  <si>
    <t>Actividades de la práctica odontológica</t>
  </si>
  <si>
    <t>8622</t>
  </si>
  <si>
    <t>Q8691</t>
  </si>
  <si>
    <t>Actividades de apoyo diagnóstico</t>
  </si>
  <si>
    <t>8691</t>
  </si>
  <si>
    <t>Q8692</t>
  </si>
  <si>
    <t>Actividades de apoyo terapéutico</t>
  </si>
  <si>
    <t>8692</t>
  </si>
  <si>
    <t>Q8699</t>
  </si>
  <si>
    <t>Otras actividades de atención de la salud humana</t>
  </si>
  <si>
    <t>8699</t>
  </si>
  <si>
    <t>87</t>
  </si>
  <si>
    <t>Q8790</t>
  </si>
  <si>
    <t>8790</t>
  </si>
  <si>
    <t>Otras actividades de atención en instituciones con alojamiento</t>
  </si>
  <si>
    <t>88</t>
  </si>
  <si>
    <t>Q8810</t>
  </si>
  <si>
    <t>Actividades de asistencia social sin alojamiento para personas mayores y discapacitadas</t>
  </si>
  <si>
    <t>8810</t>
  </si>
  <si>
    <t>Q8890</t>
  </si>
  <si>
    <t>Otras actividades de asistencia social sin alojamiento</t>
  </si>
  <si>
    <t>8890</t>
  </si>
  <si>
    <t>R</t>
  </si>
  <si>
    <t>90</t>
  </si>
  <si>
    <t>R9006</t>
  </si>
  <si>
    <t>Actividades teatrales</t>
  </si>
  <si>
    <t>9006</t>
  </si>
  <si>
    <t>R9007</t>
  </si>
  <si>
    <t>Actividades de espectáculos musicales en vivo</t>
  </si>
  <si>
    <t>9007</t>
  </si>
  <si>
    <t>91</t>
  </si>
  <si>
    <t>R9103</t>
  </si>
  <si>
    <t>Actividades de jardines botánicos, zoológicos y reservas naturales</t>
  </si>
  <si>
    <t>9103</t>
  </si>
  <si>
    <t>92</t>
  </si>
  <si>
    <t>R9200</t>
  </si>
  <si>
    <t>Actividades de juegos de azar y apuestas</t>
  </si>
  <si>
    <t>9200</t>
  </si>
  <si>
    <t>93</t>
  </si>
  <si>
    <t>R9311</t>
  </si>
  <si>
    <t>Gestión de instalaciones deportivas</t>
  </si>
  <si>
    <t>9311</t>
  </si>
  <si>
    <t>R9312</t>
  </si>
  <si>
    <t>Actividades de clubes deportivos</t>
  </si>
  <si>
    <t>9312</t>
  </si>
  <si>
    <t>R9319</t>
  </si>
  <si>
    <t>Otras actividades deportivas</t>
  </si>
  <si>
    <t>9319</t>
  </si>
  <si>
    <t>R9321</t>
  </si>
  <si>
    <t>Actividades de parques de atracciones y parques temáticos</t>
  </si>
  <si>
    <t>9321</t>
  </si>
  <si>
    <t>R9329</t>
  </si>
  <si>
    <t>Otras actividades recreativas y de esparcimiento n.c.p.</t>
  </si>
  <si>
    <t>9329</t>
  </si>
  <si>
    <t>S</t>
  </si>
  <si>
    <t>94</t>
  </si>
  <si>
    <t>S9411</t>
  </si>
  <si>
    <t>Actividades de asociaciones empresariales y de empleadores</t>
  </si>
  <si>
    <t>9411</t>
  </si>
  <si>
    <t>S9499</t>
  </si>
  <si>
    <t>Actividades de otras asociaciones n.c.p.</t>
  </si>
  <si>
    <t>9499</t>
  </si>
  <si>
    <t>95</t>
  </si>
  <si>
    <t>S9511</t>
  </si>
  <si>
    <t>Mantenimiento y reparación de computadores y de equipo periférico</t>
  </si>
  <si>
    <t>9511</t>
  </si>
  <si>
    <t>S9512</t>
  </si>
  <si>
    <t>Mantenimiento y reparación de equipos de comunicación</t>
  </si>
  <si>
    <t>9512</t>
  </si>
  <si>
    <t>S9521</t>
  </si>
  <si>
    <t>9521</t>
  </si>
  <si>
    <t>Mantenimiento y reparación de aparatos electrónicos de consumo</t>
  </si>
  <si>
    <t>S9529</t>
  </si>
  <si>
    <t>Mantenimiento y reparación de otros efectos personales y enseres domésticos</t>
  </si>
  <si>
    <t>9529</t>
  </si>
  <si>
    <t>96</t>
  </si>
  <si>
    <t>S9601</t>
  </si>
  <si>
    <t>Lavado y limpieza, incluso la limpieza en seco, de productos textiles y de piel</t>
  </si>
  <si>
    <t>9601</t>
  </si>
  <si>
    <t>S9603</t>
  </si>
  <si>
    <t>Pompas fúnebres y actividades relacionadas</t>
  </si>
  <si>
    <t>9603</t>
  </si>
  <si>
    <t>S9609</t>
  </si>
  <si>
    <t>Otras actividades de servicios personales n.c.p.</t>
  </si>
  <si>
    <t>9609</t>
  </si>
  <si>
    <t>U</t>
  </si>
  <si>
    <t>99</t>
  </si>
  <si>
    <t>U9900</t>
  </si>
  <si>
    <t>Actividades de organizaciones y entidades extraterritoriales</t>
  </si>
  <si>
    <t>9900</t>
  </si>
  <si>
    <t>A0142</t>
  </si>
  <si>
    <t>Cría de caballos y otros equinos</t>
  </si>
  <si>
    <t>0142</t>
  </si>
  <si>
    <t xml:space="preserve">Cría de caballos y otros equinos </t>
  </si>
  <si>
    <t>A0230</t>
  </si>
  <si>
    <t>Recolección de productos forestales diferentes a la madera</t>
  </si>
  <si>
    <t>0230</t>
  </si>
  <si>
    <t>B0723</t>
  </si>
  <si>
    <t>Extracción de minerales de níquel</t>
  </si>
  <si>
    <t>0723</t>
  </si>
  <si>
    <t>C2640</t>
  </si>
  <si>
    <t>Fabricación de aparatos electrónicos de consumo</t>
  </si>
  <si>
    <t>2640</t>
  </si>
  <si>
    <t>C2732</t>
  </si>
  <si>
    <t>Fabricación de dispositivos de cableado</t>
  </si>
  <si>
    <t>2732</t>
  </si>
  <si>
    <t>C2814</t>
  </si>
  <si>
    <t>Fabricación de cojinetes, engranajes, trenes de engranajes y piezas de transmisión</t>
  </si>
  <si>
    <t>2814</t>
  </si>
  <si>
    <t>G4782</t>
  </si>
  <si>
    <t>Comercio al por menor de productos textiles, prendas de vestir y calzado, en puestos de venta móviles</t>
  </si>
  <si>
    <t>4782</t>
  </si>
  <si>
    <t>G4789</t>
  </si>
  <si>
    <t>Comercio al por menor de otros productos en puestos de venta móviles</t>
  </si>
  <si>
    <t>4789</t>
  </si>
  <si>
    <t>H4922</t>
  </si>
  <si>
    <t>Transporte mixto</t>
  </si>
  <si>
    <t>4922</t>
  </si>
  <si>
    <t>H5021</t>
  </si>
  <si>
    <t>Transporte fluvial de pasajeros</t>
  </si>
  <si>
    <t>5021</t>
  </si>
  <si>
    <t>I5520</t>
  </si>
  <si>
    <t>Actividades de zonas de camping y parques para vehículos recreacionales</t>
  </si>
  <si>
    <t>5520</t>
  </si>
  <si>
    <t>K6513</t>
  </si>
  <si>
    <t>Reaseguros</t>
  </si>
  <si>
    <t>6513</t>
  </si>
  <si>
    <t>N7729</t>
  </si>
  <si>
    <t>Alquiler y arrendamiento de otros efectos personales y enseres domésticos n.c.p.</t>
  </si>
  <si>
    <t>7729</t>
  </si>
  <si>
    <t>Q8710</t>
  </si>
  <si>
    <t>Actividades de atención residencial medicalizada de tipo general</t>
  </si>
  <si>
    <t>8710</t>
  </si>
  <si>
    <t>R9008</t>
  </si>
  <si>
    <t>Otras actividades de espectáculos en vivo</t>
  </si>
  <si>
    <t>9008</t>
  </si>
  <si>
    <t>S9602</t>
  </si>
  <si>
    <t>Peluquería y otros tratamientos de belleza</t>
  </si>
  <si>
    <t>9602</t>
  </si>
  <si>
    <t>C1922</t>
  </si>
  <si>
    <t>Actividad de mezcla de combustibles</t>
  </si>
  <si>
    <t>1922</t>
  </si>
  <si>
    <t>C2817</t>
  </si>
  <si>
    <t>Fabricación de maquinaria y equipo de oficina (excepto computadoras y equipo periférico)</t>
  </si>
  <si>
    <t>2817</t>
  </si>
  <si>
    <t>C2826</t>
  </si>
  <si>
    <t>Fabricación de maquinaria para la elaboración de productos textiles, prendas de vestir y cueros</t>
  </si>
  <si>
    <t>2826</t>
  </si>
  <si>
    <t>E3812</t>
  </si>
  <si>
    <t>Recolección de desechos peligrosos</t>
  </si>
  <si>
    <t>3812</t>
  </si>
  <si>
    <t>K6512</t>
  </si>
  <si>
    <t>Seguros de vida</t>
  </si>
  <si>
    <t>6512</t>
  </si>
  <si>
    <t>75</t>
  </si>
  <si>
    <t>M7500</t>
  </si>
  <si>
    <t>Actividades veterinarias</t>
  </si>
  <si>
    <t>7500</t>
  </si>
  <si>
    <t>R9002</t>
  </si>
  <si>
    <t>Creación musical</t>
  </si>
  <si>
    <t>9002</t>
  </si>
  <si>
    <t>R9101</t>
  </si>
  <si>
    <t>Actividades de bibliotecas y archivos</t>
  </si>
  <si>
    <t>9101</t>
  </si>
  <si>
    <t>S9492</t>
  </si>
  <si>
    <t>Actividades de asociaciones políticas</t>
  </si>
  <si>
    <t>9492</t>
  </si>
  <si>
    <t>S9523</t>
  </si>
  <si>
    <t>Reparación de calzado y artículos de cuero</t>
  </si>
  <si>
    <t>9523</t>
  </si>
  <si>
    <t>T</t>
  </si>
  <si>
    <t>98</t>
  </si>
  <si>
    <t>T9810</t>
  </si>
  <si>
    <t>Actividades no diferenciadas de los hogares individuales como productores de bienes para uso propio</t>
  </si>
  <si>
    <t>9810</t>
  </si>
  <si>
    <t>T9820</t>
  </si>
  <si>
    <t>Actividades no diferenciadas de los hogares individuales como productores de servicios para uso propio</t>
  </si>
  <si>
    <t>9820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</si>
</sst>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 #,##0_-;\-&quot;$&quot;\ * #,##0_-;_-&quot;$&quot;\ * &quot;-&quot;_-;_-@_-"/>
    <numFmt numFmtId="44" formatCode="_-&quot;$&quot;\ * #,##0.00_-;\-&quot;$&quot;\ * #,##0.00_-;_-&quot;$&quot;\ * &quot;-&quot;??_-;_-@_-"/>
    <numFmt numFmtId="43" formatCode="_-* #,##0.00_-;\-* #,##0.00_-;_-* &quot;-&quot;??_-;_-@_-"/>
    <numFmt numFmtId="164" formatCode="_(* #,##0.00_);_(* \(#,##0.00\);_(* &quot;-&quot;??_);_(@_)"/>
    <numFmt numFmtId="165" formatCode="#\ &quot;horas&quot;"/>
    <numFmt numFmtId="166" formatCode="_(* #,##0_);_(* \(#,##0\);_(* &quot;-&quot;??_);_(@_)"/>
    <numFmt numFmtId="167" formatCode="#\ &quot;Visitas&quot;"/>
    <numFmt numFmtId="168" formatCode="#\ &quot;Horas&quot;"/>
    <numFmt numFmtId="169" formatCode="[$-F800]dddd\,\ mmmm\ dd\,\ yyyy"/>
    <numFmt numFmtId="170" formatCode="_(&quot;$&quot;* #,##0.00_);_(&quot;$&quot;* \(#,##0.00\);_(&quot;$&quot;* &quot;-&quot;??_);_(@_)"/>
    <numFmt numFmtId="171" formatCode="_-&quot;$&quot;\ * #,##0_-;\-&quot;$&quot;\ * #,##0_-;_-&quot;$&quot;\ * &quot;-&quot;??_-;_-@_-"/>
    <numFmt numFmtId="172" formatCode="0.0"/>
    <numFmt numFmtId="173" formatCode="#"/>
    <numFmt numFmtId="174" formatCode="#\ &quot;horas&quot;\ &quot;VALIDAR&quot;"/>
    <numFmt numFmtId="175" formatCode="#\ &quot;VALIDAR&quot;"/>
    <numFmt numFmtId="176" formatCode="#,##0.0"/>
    <numFmt numFmtId="177" formatCode="0.0%"/>
    <numFmt numFmtId="178" formatCode="_-[$$-409]* #,##0.00_ ;_-[$$-409]* \-#,##0.00\ ;_-[$$-409]* &quot;-&quot;??_ ;_-@_ "/>
    <numFmt numFmtId="179" formatCode="[$-240A]d&quot; de &quot;mmmm&quot; de &quot;yyyy;@"/>
    <numFmt numFmtId="180" formatCode="0.000%"/>
  </numFmts>
  <fonts count="131" x14ac:knownFonts="1">
    <font>
      <sz val="11"/>
      <color theme="1"/>
      <name val="Calibri"/>
      <family val="2"/>
      <scheme val="minor"/>
    </font>
    <font>
      <b/>
      <sz val="11"/>
      <color theme="1"/>
      <name val="Calibri"/>
      <family val="2"/>
      <scheme val="minor"/>
    </font>
    <font>
      <b/>
      <sz val="22"/>
      <color theme="1"/>
      <name val="Calibri"/>
      <family val="2"/>
      <scheme val="minor"/>
    </font>
    <font>
      <sz val="10"/>
      <name val="Arial"/>
      <family val="2"/>
    </font>
    <font>
      <b/>
      <sz val="18"/>
      <color theme="1"/>
      <name val="Calibri"/>
      <family val="2"/>
      <scheme val="minor"/>
    </font>
    <font>
      <sz val="18"/>
      <color theme="1"/>
      <name val="Calibri"/>
      <family val="2"/>
      <scheme val="minor"/>
    </font>
    <font>
      <b/>
      <sz val="18"/>
      <name val="Calibri"/>
      <family val="2"/>
      <scheme val="minor"/>
    </font>
    <font>
      <sz val="16"/>
      <color theme="1"/>
      <name val="Calibri"/>
      <family val="2"/>
      <scheme val="minor"/>
    </font>
    <font>
      <sz val="8"/>
      <name val="Calibri"/>
      <family val="2"/>
      <scheme val="minor"/>
    </font>
    <font>
      <b/>
      <sz val="9"/>
      <color theme="1"/>
      <name val="Calibri"/>
      <family val="2"/>
      <scheme val="minor"/>
    </font>
    <font>
      <b/>
      <sz val="14"/>
      <name val="Calibri"/>
      <family val="2"/>
      <scheme val="minor"/>
    </font>
    <font>
      <sz val="11"/>
      <color theme="1"/>
      <name val="Calibri"/>
      <family val="2"/>
      <scheme val="minor"/>
    </font>
    <font>
      <b/>
      <sz val="16"/>
      <color theme="1"/>
      <name val="Calibri"/>
      <family val="2"/>
      <scheme val="minor"/>
    </font>
    <font>
      <b/>
      <sz val="14"/>
      <color theme="1"/>
      <name val="Calibri"/>
      <family val="2"/>
      <scheme val="minor"/>
    </font>
    <font>
      <sz val="12"/>
      <color theme="1"/>
      <name val="Calibri"/>
      <family val="2"/>
      <scheme val="minor"/>
    </font>
    <font>
      <sz val="9"/>
      <color theme="1"/>
      <name val="Calibri"/>
      <family val="2"/>
      <scheme val="minor"/>
    </font>
    <font>
      <sz val="11"/>
      <color theme="0"/>
      <name val="Calibri"/>
      <family val="2"/>
      <scheme val="minor"/>
    </font>
    <font>
      <b/>
      <u/>
      <sz val="16"/>
      <color theme="1"/>
      <name val="Calibri"/>
      <family val="2"/>
      <scheme val="minor"/>
    </font>
    <font>
      <b/>
      <sz val="16"/>
      <color theme="0"/>
      <name val="Calibri"/>
      <family val="2"/>
      <scheme val="minor"/>
    </font>
    <font>
      <b/>
      <sz val="16"/>
      <name val="Calibri"/>
      <family val="2"/>
      <scheme val="minor"/>
    </font>
    <font>
      <sz val="16"/>
      <name val="Calibri"/>
      <family val="2"/>
      <scheme val="minor"/>
    </font>
    <font>
      <b/>
      <u/>
      <sz val="16"/>
      <color theme="0"/>
      <name val="Calibri"/>
      <family val="2"/>
      <scheme val="minor"/>
    </font>
    <font>
      <sz val="11"/>
      <color theme="1"/>
      <name val="Calibri Light"/>
      <family val="2"/>
      <scheme val="major"/>
    </font>
    <font>
      <sz val="10"/>
      <color theme="1"/>
      <name val="Calibri Light"/>
      <family val="2"/>
      <scheme val="major"/>
    </font>
    <font>
      <sz val="8"/>
      <color theme="1"/>
      <name val="Calibri Light"/>
      <family val="2"/>
      <scheme val="major"/>
    </font>
    <font>
      <b/>
      <sz val="11"/>
      <color theme="0"/>
      <name val="Calibri Light"/>
      <family val="2"/>
      <scheme val="major"/>
    </font>
    <font>
      <sz val="11"/>
      <color theme="0"/>
      <name val="Calibri Light"/>
      <family val="2"/>
      <scheme val="major"/>
    </font>
    <font>
      <b/>
      <sz val="11"/>
      <color theme="1"/>
      <name val="Calibri Light"/>
      <family val="2"/>
      <scheme val="major"/>
    </font>
    <font>
      <b/>
      <sz val="10"/>
      <name val="Calibri Light"/>
      <family val="2"/>
      <scheme val="major"/>
    </font>
    <font>
      <sz val="10"/>
      <name val="Calibri Light"/>
      <family val="2"/>
      <scheme val="major"/>
    </font>
    <font>
      <b/>
      <sz val="10"/>
      <color theme="1"/>
      <name val="Calibri"/>
      <family val="2"/>
      <scheme val="minor"/>
    </font>
    <font>
      <b/>
      <sz val="14"/>
      <color theme="0"/>
      <name val="Calibri"/>
      <family val="2"/>
      <scheme val="minor"/>
    </font>
    <font>
      <b/>
      <u/>
      <sz val="14"/>
      <color theme="1"/>
      <name val="Calibri"/>
      <family val="2"/>
      <scheme val="minor"/>
    </font>
    <font>
      <b/>
      <sz val="26"/>
      <color theme="1"/>
      <name val="Calibri"/>
      <family val="2"/>
      <scheme val="minor"/>
    </font>
    <font>
      <b/>
      <u/>
      <sz val="14"/>
      <color theme="0"/>
      <name val="Calibri"/>
      <family val="2"/>
      <scheme val="minor"/>
    </font>
    <font>
      <b/>
      <sz val="28"/>
      <color theme="1"/>
      <name val="Calibri"/>
      <family val="2"/>
      <scheme val="minor"/>
    </font>
    <font>
      <b/>
      <sz val="14"/>
      <color theme="0" tint="-4.9989318521683403E-2"/>
      <name val="Calibri"/>
      <family val="2"/>
      <scheme val="minor"/>
    </font>
    <font>
      <b/>
      <u/>
      <sz val="14"/>
      <color theme="0" tint="-4.9989318521683403E-2"/>
      <name val="Calibri"/>
      <family val="2"/>
      <scheme val="minor"/>
    </font>
    <font>
      <b/>
      <sz val="12"/>
      <name val="Calibri"/>
      <family val="2"/>
      <scheme val="minor"/>
    </font>
    <font>
      <b/>
      <sz val="11"/>
      <name val="Calibri"/>
      <family val="2"/>
      <scheme val="minor"/>
    </font>
    <font>
      <b/>
      <sz val="24"/>
      <color theme="1"/>
      <name val="Calibri Light"/>
      <family val="2"/>
      <scheme val="major"/>
    </font>
    <font>
      <sz val="14"/>
      <color rgb="FFFF0000"/>
      <name val="Calibri"/>
      <family val="2"/>
      <scheme val="minor"/>
    </font>
    <font>
      <sz val="14"/>
      <color theme="1"/>
      <name val="Calibri"/>
      <family val="2"/>
      <scheme val="minor"/>
    </font>
    <font>
      <b/>
      <sz val="20"/>
      <name val="Calibri"/>
      <family val="2"/>
      <scheme val="minor"/>
    </font>
    <font>
      <b/>
      <sz val="12"/>
      <color theme="1"/>
      <name val="Calibri"/>
      <family val="2"/>
      <scheme val="minor"/>
    </font>
    <font>
      <b/>
      <u/>
      <sz val="16"/>
      <name val="Calibri"/>
      <family val="2"/>
      <scheme val="minor"/>
    </font>
    <font>
      <sz val="18"/>
      <name val="Calibri"/>
      <family val="2"/>
      <scheme val="minor"/>
    </font>
    <font>
      <sz val="16"/>
      <color rgb="FFFF0000"/>
      <name val="Calibri"/>
      <family val="2"/>
      <scheme val="minor"/>
    </font>
    <font>
      <b/>
      <sz val="8"/>
      <color theme="1"/>
      <name val="Calibri"/>
      <family val="2"/>
      <scheme val="minor"/>
    </font>
    <font>
      <sz val="11"/>
      <color rgb="FFFF0000"/>
      <name val="Calibri"/>
      <family val="2"/>
      <scheme val="minor"/>
    </font>
    <font>
      <b/>
      <sz val="8"/>
      <color theme="1"/>
      <name val="Calibri Light"/>
      <family val="2"/>
      <scheme val="major"/>
    </font>
    <font>
      <sz val="11"/>
      <name val="Calibri Light"/>
      <family val="2"/>
      <scheme val="major"/>
    </font>
    <font>
      <b/>
      <sz val="20"/>
      <color theme="0"/>
      <name val="Calibri"/>
      <family val="2"/>
      <scheme val="minor"/>
    </font>
    <font>
      <b/>
      <sz val="17"/>
      <color theme="1"/>
      <name val="Calibri"/>
      <family val="2"/>
      <scheme val="minor"/>
    </font>
    <font>
      <b/>
      <u/>
      <sz val="17"/>
      <color theme="1"/>
      <name val="Calibri"/>
      <family val="2"/>
      <scheme val="minor"/>
    </font>
    <font>
      <b/>
      <sz val="17"/>
      <name val="Calibri"/>
      <family val="2"/>
      <scheme val="minor"/>
    </font>
    <font>
      <b/>
      <sz val="22"/>
      <name val="Calibri"/>
      <family val="2"/>
      <scheme val="minor"/>
    </font>
    <font>
      <sz val="18"/>
      <color rgb="FFFF0000"/>
      <name val="Calibri"/>
      <family val="2"/>
      <scheme val="minor"/>
    </font>
    <font>
      <sz val="16"/>
      <color theme="0"/>
      <name val="Calibri"/>
      <family val="2"/>
      <scheme val="minor"/>
    </font>
    <font>
      <sz val="16"/>
      <color rgb="FFFFFF00"/>
      <name val="Calibri"/>
      <family val="2"/>
      <scheme val="minor"/>
    </font>
    <font>
      <b/>
      <sz val="19"/>
      <name val="Calibri"/>
      <family val="2"/>
      <scheme val="minor"/>
    </font>
    <font>
      <b/>
      <sz val="19"/>
      <color theme="1"/>
      <name val="Calibri"/>
      <family val="2"/>
      <scheme val="minor"/>
    </font>
    <font>
      <sz val="19"/>
      <name val="Calibri"/>
      <family val="2"/>
      <scheme val="minor"/>
    </font>
    <font>
      <b/>
      <sz val="16"/>
      <color rgb="FFFF0000"/>
      <name val="Calibri"/>
      <family val="2"/>
      <scheme val="minor"/>
    </font>
    <font>
      <sz val="16"/>
      <color theme="0" tint="-0.499984740745262"/>
      <name val="Calibri"/>
      <family val="2"/>
      <scheme val="minor"/>
    </font>
    <font>
      <b/>
      <sz val="16"/>
      <color theme="1"/>
      <name val="Arial"/>
      <family val="2"/>
    </font>
    <font>
      <b/>
      <sz val="14"/>
      <color theme="1"/>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24"/>
      <color theme="1"/>
      <name val="Palatino Linotype"/>
      <family val="1"/>
    </font>
    <font>
      <sz val="11"/>
      <color theme="1"/>
      <name val="Palatino Linotype"/>
      <family val="1"/>
    </font>
    <font>
      <sz val="12"/>
      <name val="Palatino Linotype"/>
      <family val="1"/>
    </font>
    <font>
      <b/>
      <sz val="18"/>
      <color theme="1"/>
      <name val="Palatino Linotype"/>
      <family val="1"/>
    </font>
    <font>
      <b/>
      <sz val="12"/>
      <name val="Palatino Linotype"/>
      <family val="1"/>
    </font>
    <font>
      <b/>
      <sz val="9"/>
      <name val="Palatino Linotype"/>
      <family val="1"/>
    </font>
    <font>
      <sz val="11"/>
      <name val="Calibri"/>
      <family val="2"/>
      <scheme val="minor"/>
    </font>
    <font>
      <sz val="10"/>
      <color indexed="81"/>
      <name val="Tahoma"/>
      <family val="2"/>
    </font>
    <font>
      <sz val="12"/>
      <color theme="1"/>
      <name val="Palatino Linotype"/>
      <family val="1"/>
    </font>
    <font>
      <b/>
      <sz val="12"/>
      <color rgb="FFFFFFFF"/>
      <name val="Palatino Linotype"/>
      <family val="1"/>
    </font>
    <font>
      <sz val="12"/>
      <color rgb="FF000000"/>
      <name val="Palatino Linotype"/>
      <family val="1"/>
    </font>
    <font>
      <b/>
      <sz val="12"/>
      <color theme="1"/>
      <name val="Palatino Linotype"/>
      <family val="1"/>
    </font>
    <font>
      <b/>
      <sz val="22"/>
      <color theme="1"/>
      <name val="Palatino Linotype"/>
      <family val="1"/>
    </font>
    <font>
      <sz val="16"/>
      <color theme="1"/>
      <name val="Palatino Linotype"/>
      <family val="1"/>
    </font>
    <font>
      <b/>
      <sz val="16"/>
      <color theme="1"/>
      <name val="Palatino Linotype"/>
      <family val="1"/>
    </font>
    <font>
      <b/>
      <sz val="12"/>
      <color rgb="FF000000"/>
      <name val="Palatino Linotype"/>
      <family val="1"/>
    </font>
    <font>
      <sz val="16"/>
      <color theme="0"/>
      <name val="Palatino Linotype"/>
      <family val="1"/>
    </font>
    <font>
      <b/>
      <sz val="24"/>
      <color theme="1"/>
      <name val="Palatino Linotype"/>
      <family val="1"/>
    </font>
    <font>
      <b/>
      <sz val="16"/>
      <color theme="0"/>
      <name val="Palatino Linotype"/>
      <family val="1"/>
    </font>
    <font>
      <sz val="16"/>
      <name val="Palatino Linotype"/>
      <family val="1"/>
    </font>
    <font>
      <b/>
      <sz val="16"/>
      <name val="Palatino Linotype"/>
      <family val="1"/>
    </font>
    <font>
      <b/>
      <sz val="14"/>
      <name val="Palatino Linotype"/>
      <family val="1"/>
    </font>
    <font>
      <i/>
      <sz val="12"/>
      <name val="Palatino Linotype"/>
      <family val="1"/>
    </font>
    <font>
      <sz val="12"/>
      <name val="Calibri"/>
      <family val="2"/>
      <scheme val="minor"/>
    </font>
    <font>
      <sz val="14"/>
      <color indexed="81"/>
      <name val="Tahoma"/>
      <family val="2"/>
    </font>
    <font>
      <b/>
      <sz val="14"/>
      <color indexed="81"/>
      <name val="Tahoma"/>
      <family val="2"/>
    </font>
    <font>
      <sz val="9"/>
      <color indexed="81"/>
      <name val="Tahoma"/>
      <family val="2"/>
    </font>
    <font>
      <sz val="12"/>
      <color indexed="81"/>
      <name val="Tahoma"/>
      <family val="2"/>
    </font>
    <font>
      <b/>
      <sz val="12"/>
      <color indexed="81"/>
      <name val="Tahoma"/>
      <family val="2"/>
    </font>
    <font>
      <b/>
      <sz val="9"/>
      <color indexed="81"/>
      <name val="Tahoma"/>
      <family val="2"/>
    </font>
    <font>
      <sz val="12"/>
      <color rgb="FFFF0000"/>
      <name val="Calibri"/>
      <family val="2"/>
      <scheme val="minor"/>
    </font>
    <font>
      <sz val="15"/>
      <name val="Palatino Linotype"/>
      <family val="1"/>
    </font>
    <font>
      <sz val="14"/>
      <name val="Palatino Linotype"/>
      <family val="1"/>
    </font>
    <font>
      <sz val="10"/>
      <name val="Palatino Linotype"/>
      <family val="1"/>
    </font>
    <font>
      <sz val="14"/>
      <color theme="1"/>
      <name val="Palatino Linotype"/>
      <family val="1"/>
    </font>
    <font>
      <sz val="8"/>
      <color rgb="FFFF0000"/>
      <name val="Palatino Linotype"/>
      <family val="1"/>
    </font>
    <font>
      <b/>
      <i/>
      <sz val="12"/>
      <color theme="1"/>
      <name val="Palatino Linotype"/>
      <family val="1"/>
    </font>
    <font>
      <i/>
      <sz val="12"/>
      <color theme="1"/>
      <name val="Palatino Linotype"/>
      <family val="1"/>
    </font>
    <font>
      <sz val="12"/>
      <color rgb="FFFF0000"/>
      <name val="Palatino Linotype"/>
      <family val="1"/>
    </font>
    <font>
      <b/>
      <i/>
      <sz val="12"/>
      <name val="Palatino Linotype"/>
      <family val="1"/>
    </font>
    <font>
      <sz val="11"/>
      <name val="Palatino Linotype"/>
      <family val="1"/>
    </font>
    <font>
      <sz val="11"/>
      <color indexed="81"/>
      <name val="Tahoma"/>
      <family val="2"/>
    </font>
    <font>
      <b/>
      <sz val="11"/>
      <color indexed="81"/>
      <name val="Tahoma"/>
      <family val="2"/>
    </font>
    <font>
      <b/>
      <strike/>
      <sz val="12"/>
      <name val="Palatino Linotype"/>
      <family val="1"/>
    </font>
    <font>
      <b/>
      <sz val="14"/>
      <color theme="1"/>
      <name val="Palatino Linotype"/>
      <family val="1"/>
    </font>
    <font>
      <b/>
      <sz val="10"/>
      <color theme="1"/>
      <name val="Palatino Linotype"/>
      <family val="1"/>
    </font>
    <font>
      <b/>
      <sz val="26"/>
      <color theme="1"/>
      <name val="Palatino Linotype"/>
      <family val="1"/>
    </font>
    <font>
      <b/>
      <sz val="11"/>
      <color theme="1"/>
      <name val="Palatino Linotype"/>
      <family val="1"/>
    </font>
    <font>
      <u/>
      <sz val="11"/>
      <color theme="10"/>
      <name val="Calibri"/>
      <family val="2"/>
      <scheme val="minor"/>
    </font>
    <font>
      <b/>
      <sz val="20"/>
      <color theme="3"/>
      <name val="Calibri"/>
      <family val="2"/>
      <scheme val="minor"/>
    </font>
    <font>
      <sz val="10"/>
      <color theme="1"/>
      <name val="Palatino Linotype"/>
      <family val="1"/>
    </font>
    <font>
      <b/>
      <sz val="22"/>
      <name val="Calibri"/>
      <family val="2"/>
    </font>
    <font>
      <sz val="11"/>
      <color rgb="FF000000"/>
      <name val="Calibri Light"/>
      <family val="2"/>
      <scheme val="major"/>
    </font>
    <font>
      <b/>
      <sz val="12"/>
      <color theme="0"/>
      <name val="Palatino Linotype"/>
      <family val="1"/>
    </font>
    <font>
      <sz val="12"/>
      <color theme="0"/>
      <name val="Palatino Linotype"/>
      <family val="1"/>
    </font>
    <font>
      <sz val="12"/>
      <color theme="0"/>
      <name val="Calibri"/>
      <family val="2"/>
      <scheme val="minor"/>
    </font>
    <font>
      <sz val="11"/>
      <color theme="1"/>
      <name val="Arial"/>
      <family val="2"/>
    </font>
    <font>
      <sz val="9"/>
      <color rgb="FFFF0000"/>
      <name val="Palatino Linotype"/>
      <family val="1"/>
    </font>
    <font>
      <sz val="10"/>
      <color theme="1"/>
      <name val="Calibri"/>
      <family val="2"/>
      <scheme val="minor"/>
    </font>
    <font>
      <b/>
      <sz val="28"/>
      <name val="Calibri"/>
      <family val="2"/>
      <scheme val="minor"/>
    </font>
    <font>
      <b/>
      <sz val="26"/>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D3D3D3"/>
        <bgColor indexed="64"/>
      </patternFill>
    </fill>
    <fill>
      <patternFill patternType="solid">
        <fgColor theme="8" tint="0.79998168889431442"/>
        <bgColor indexed="64"/>
      </patternFill>
    </fill>
    <fill>
      <patternFill patternType="solid">
        <fgColor rgb="FFE0E6F4"/>
        <bgColor indexed="64"/>
      </patternFill>
    </fill>
    <fill>
      <patternFill patternType="solid">
        <fgColor rgb="FFEDF1F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0000"/>
        <bgColor indexed="64"/>
      </patternFill>
    </fill>
    <fill>
      <patternFill patternType="solid">
        <fgColor rgb="FF0070C0"/>
        <bgColor indexed="64"/>
      </patternFill>
    </fill>
    <fill>
      <patternFill patternType="solid">
        <fgColor rgb="FF00B05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4F81BD"/>
        <bgColor indexed="64"/>
      </patternFill>
    </fill>
    <fill>
      <patternFill patternType="solid">
        <fgColor rgb="FFD0D8E8"/>
        <bgColor indexed="64"/>
      </patternFill>
    </fill>
    <fill>
      <patternFill patternType="solid">
        <fgColor rgb="FFC1B175"/>
        <bgColor indexed="64"/>
      </patternFill>
    </fill>
    <fill>
      <patternFill patternType="solid">
        <fgColor theme="4"/>
        <bgColor indexed="64"/>
      </patternFill>
    </fill>
    <fill>
      <patternFill patternType="solid">
        <fgColor rgb="FFE9EDF4"/>
        <bgColor indexed="64"/>
      </patternFill>
    </fill>
    <fill>
      <patternFill patternType="solid">
        <fgColor rgb="FFFFFBEF"/>
        <bgColor indexed="64"/>
      </patternFill>
    </fill>
    <fill>
      <patternFill patternType="solid">
        <fgColor rgb="FFFFC000"/>
        <bgColor indexed="64"/>
      </patternFill>
    </fill>
    <fill>
      <patternFill patternType="solid">
        <fgColor rgb="FFA20000"/>
        <bgColor indexed="64"/>
      </patternFill>
    </fill>
    <fill>
      <patternFill patternType="solid">
        <fgColor theme="8" tint="-0.249977111117893"/>
        <bgColor indexed="64"/>
      </patternFill>
    </fill>
    <fill>
      <patternFill patternType="solid">
        <fgColor rgb="FFF3DAD9"/>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5"/>
        <bgColor indexed="64"/>
      </patternFill>
    </fill>
    <fill>
      <patternFill patternType="solid">
        <fgColor rgb="FF002060"/>
        <bgColor indexed="64"/>
      </patternFill>
    </fill>
  </fills>
  <borders count="208">
    <border>
      <left/>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tted">
        <color theme="0" tint="-0.24994659260841701"/>
      </left>
      <right/>
      <top/>
      <bottom/>
      <diagonal/>
    </border>
    <border>
      <left style="dashDot">
        <color theme="0"/>
      </left>
      <right style="dashDot">
        <color theme="0"/>
      </right>
      <top style="dashDot">
        <color theme="0"/>
      </top>
      <bottom style="dashDot">
        <color theme="0"/>
      </bottom>
      <diagonal/>
    </border>
    <border>
      <left style="dashDot">
        <color theme="0"/>
      </left>
      <right/>
      <top style="dashDot">
        <color theme="0"/>
      </top>
      <bottom style="dashDot">
        <color theme="0"/>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indexed="64"/>
      </right>
      <top/>
      <bottom style="medium">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style="thin">
        <color theme="0" tint="-4.9989318521683403E-2"/>
      </right>
      <top style="thin">
        <color theme="0" tint="-4.9989318521683403E-2"/>
      </top>
      <bottom style="thin">
        <color theme="0" tint="-4.9989318521683403E-2"/>
      </bottom>
      <diagonal/>
    </border>
    <border>
      <left style="medium">
        <color indexed="64"/>
      </left>
      <right style="thin">
        <color theme="0" tint="-4.9989318521683403E-2"/>
      </right>
      <top style="thin">
        <color theme="0" tint="-4.9989318521683403E-2"/>
      </top>
      <bottom/>
      <diagonal/>
    </border>
    <border>
      <left style="medium">
        <color indexed="64"/>
      </left>
      <right style="thin">
        <color theme="0" tint="-4.9989318521683403E-2"/>
      </right>
      <top/>
      <bottom style="thin">
        <color theme="0" tint="-4.9989318521683403E-2"/>
      </bottom>
      <diagonal/>
    </border>
    <border>
      <left style="thin">
        <color indexed="64"/>
      </left>
      <right/>
      <top/>
      <bottom/>
      <diagonal/>
    </border>
    <border>
      <left style="thin">
        <color theme="0" tint="-0.24994659260841701"/>
      </left>
      <right style="dotted">
        <color theme="0" tint="-0.24994659260841701"/>
      </right>
      <top style="thin">
        <color theme="0" tint="-0.24994659260841701"/>
      </top>
      <bottom/>
      <diagonal/>
    </border>
    <border>
      <left style="dotted">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dotted">
        <color theme="0" tint="-0.24994659260841701"/>
      </right>
      <top/>
      <bottom/>
      <diagonal/>
    </border>
    <border>
      <left style="thin">
        <color theme="0" tint="-0.24994659260841701"/>
      </left>
      <right style="dotted">
        <color theme="0" tint="-0.24994659260841701"/>
      </right>
      <top style="thin">
        <color theme="0" tint="-0.24994659260841701"/>
      </top>
      <bottom style="thin">
        <color theme="0" tint="-0.34998626667073579"/>
      </bottom>
      <diagonal/>
    </border>
    <border>
      <left style="dotted">
        <color theme="0" tint="-0.24994659260841701"/>
      </left>
      <right style="dotted">
        <color theme="0" tint="-0.24994659260841701"/>
      </right>
      <top style="thin">
        <color theme="0" tint="-0.24994659260841701"/>
      </top>
      <bottom style="thin">
        <color theme="0" tint="-0.34998626667073579"/>
      </bottom>
      <diagonal/>
    </border>
    <border>
      <left style="dotted">
        <color theme="0" tint="-0.24994659260841701"/>
      </left>
      <right style="thin">
        <color theme="0" tint="-0.24994659260841701"/>
      </right>
      <top style="thin">
        <color theme="0" tint="-0.24994659260841701"/>
      </top>
      <bottom style="thin">
        <color theme="0" tint="-0.34998626667073579"/>
      </bottom>
      <diagonal/>
    </border>
    <border>
      <left/>
      <right style="thin">
        <color theme="0" tint="-0.24994659260841701"/>
      </right>
      <top/>
      <bottom/>
      <diagonal/>
    </border>
    <border>
      <left style="thin">
        <color theme="0" tint="-0.34998626667073579"/>
      </left>
      <right style="dotted">
        <color theme="0" tint="-0.34998626667073579"/>
      </right>
      <top style="thin">
        <color theme="0" tint="-0.34998626667073579"/>
      </top>
      <bottom style="dotted">
        <color theme="0" tint="-0.34998626667073579"/>
      </bottom>
      <diagonal/>
    </border>
    <border>
      <left style="dotted">
        <color theme="0" tint="-0.34998626667073579"/>
      </left>
      <right style="dotted">
        <color theme="0" tint="-0.34998626667073579"/>
      </right>
      <top style="thin">
        <color theme="0" tint="-0.34998626667073579"/>
      </top>
      <bottom style="dotted">
        <color theme="0" tint="-0.34998626667073579"/>
      </bottom>
      <diagonal/>
    </border>
    <border>
      <left style="dotted">
        <color theme="0" tint="-0.34998626667073579"/>
      </left>
      <right/>
      <top style="thin">
        <color theme="0" tint="-0.34998626667073579"/>
      </top>
      <bottom style="dotted">
        <color theme="0" tint="-0.34998626667073579"/>
      </bottom>
      <diagonal/>
    </border>
    <border>
      <left style="thin">
        <color theme="0" tint="-0.24994659260841701"/>
      </left>
      <right style="dotted">
        <color theme="0" tint="-0.34998626667073579"/>
      </right>
      <top style="thin">
        <color theme="0" tint="-0.34998626667073579"/>
      </top>
      <bottom style="dotted">
        <color theme="0" tint="-0.34998626667073579"/>
      </bottom>
      <diagonal/>
    </border>
    <border>
      <left style="dotted">
        <color theme="0" tint="-0.34998626667073579"/>
      </left>
      <right style="thin">
        <color theme="0" tint="-0.24994659260841701"/>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style="thin">
        <color theme="0" tint="-0.34998626667073579"/>
      </left>
      <right style="dotted">
        <color theme="0" tint="-0.34998626667073579"/>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tted">
        <color theme="0" tint="-0.34998626667073579"/>
      </left>
      <right/>
      <top style="dotted">
        <color theme="0" tint="-0.34998626667073579"/>
      </top>
      <bottom style="dotted">
        <color theme="0" tint="-0.34998626667073579"/>
      </bottom>
      <diagonal/>
    </border>
    <border>
      <left style="thin">
        <color theme="0" tint="-0.24994659260841701"/>
      </left>
      <right style="dotted">
        <color theme="0" tint="-0.34998626667073579"/>
      </right>
      <top style="dotted">
        <color theme="0" tint="-0.34998626667073579"/>
      </top>
      <bottom style="dotted">
        <color theme="0" tint="-0.34998626667073579"/>
      </bottom>
      <diagonal/>
    </border>
    <border>
      <left/>
      <right style="thin">
        <color theme="0" tint="-0.34998626667073579"/>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right style="thin">
        <color theme="0" tint="-0.24994659260841701"/>
      </right>
      <top style="dotted">
        <color theme="0" tint="-0.34998626667073579"/>
      </top>
      <bottom style="dotted">
        <color theme="0" tint="-0.34998626667073579"/>
      </bottom>
      <diagonal/>
    </border>
    <border>
      <left style="dotted">
        <color theme="0" tint="-0.34998626667073579"/>
      </left>
      <right style="thin">
        <color theme="0" tint="-0.24994659260841701"/>
      </right>
      <top style="dotted">
        <color theme="0" tint="-0.34998626667073579"/>
      </top>
      <bottom style="dotted">
        <color theme="0" tint="-0.34998626667073579"/>
      </bottom>
      <diagonal/>
    </border>
    <border>
      <left style="thin">
        <color theme="0" tint="-0.34998626667073579"/>
      </left>
      <right style="dotted">
        <color theme="0" tint="-0.34998626667073579"/>
      </right>
      <top/>
      <bottom style="dotted">
        <color theme="0" tint="-0.34998626667073579"/>
      </bottom>
      <diagonal/>
    </border>
    <border>
      <left style="thin">
        <color theme="0" tint="-0.24994659260841701"/>
      </left>
      <right style="dotted">
        <color theme="0" tint="-0.34998626667073579"/>
      </right>
      <top/>
      <bottom style="dotted">
        <color theme="0" tint="-0.34998626667073579"/>
      </bottom>
      <diagonal/>
    </border>
    <border>
      <left style="dotted">
        <color theme="0" tint="-0.34998626667073579"/>
      </left>
      <right style="dotted">
        <color theme="0" tint="-0.34998626667073579"/>
      </right>
      <top/>
      <bottom style="dotted">
        <color theme="0" tint="-0.34998626667073579"/>
      </bottom>
      <diagonal/>
    </border>
    <border>
      <left style="dotted">
        <color theme="0" tint="-0.34998626667073579"/>
      </left>
      <right style="thin">
        <color theme="0" tint="-0.24994659260841701"/>
      </right>
      <top/>
      <bottom style="dotted">
        <color theme="0" tint="-0.34998626667073579"/>
      </bottom>
      <diagonal/>
    </border>
    <border>
      <left style="thin">
        <color theme="0" tint="-0.34998626667073579"/>
      </left>
      <right style="dotted">
        <color theme="0" tint="-0.34998626667073579"/>
      </right>
      <top style="dotted">
        <color theme="0" tint="-0.34998626667073579"/>
      </top>
      <bottom style="thin">
        <color theme="0" tint="-0.34998626667073579"/>
      </bottom>
      <diagonal/>
    </border>
    <border>
      <left style="dotted">
        <color theme="0" tint="-0.34998626667073579"/>
      </left>
      <right style="dotted">
        <color theme="0" tint="-0.34998626667073579"/>
      </right>
      <top style="dotted">
        <color theme="0" tint="-0.34998626667073579"/>
      </top>
      <bottom style="thin">
        <color theme="0" tint="-0.34998626667073579"/>
      </bottom>
      <diagonal/>
    </border>
    <border>
      <left style="dotted">
        <color theme="0" tint="-0.34998626667073579"/>
      </left>
      <right/>
      <top style="dotted">
        <color theme="0" tint="-0.34998626667073579"/>
      </top>
      <bottom style="thin">
        <color theme="0" tint="-0.34998626667073579"/>
      </bottom>
      <diagonal/>
    </border>
    <border>
      <left style="thin">
        <color theme="0" tint="-0.24994659260841701"/>
      </left>
      <right style="dotted">
        <color theme="0" tint="-0.34998626667073579"/>
      </right>
      <top style="dotted">
        <color theme="0" tint="-0.34998626667073579"/>
      </top>
      <bottom style="thin">
        <color theme="0" tint="-0.34998626667073579"/>
      </bottom>
      <diagonal/>
    </border>
    <border>
      <left style="dotted">
        <color theme="0" tint="-0.34998626667073579"/>
      </left>
      <right style="thin">
        <color theme="0" tint="-0.24994659260841701"/>
      </right>
      <top style="dotted">
        <color theme="0" tint="-0.34998626667073579"/>
      </top>
      <bottom style="thin">
        <color theme="0" tint="-0.34998626667073579"/>
      </bottom>
      <diagonal/>
    </border>
    <border>
      <left style="dotted">
        <color theme="0" tint="-0.34998626667073579"/>
      </left>
      <right style="thin">
        <color theme="0" tint="-0.34998626667073579"/>
      </right>
      <top style="thin">
        <color theme="0" tint="-0.34998626667073579"/>
      </top>
      <bottom style="dotted">
        <color theme="0" tint="-0.34998626667073579"/>
      </bottom>
      <diagonal/>
    </border>
    <border>
      <left style="dotted">
        <color theme="0" tint="-0.34998626667073579"/>
      </left>
      <right style="thin">
        <color theme="0" tint="-0.34998626667073579"/>
      </right>
      <top style="dotted">
        <color theme="0" tint="-0.34998626667073579"/>
      </top>
      <bottom style="dotted">
        <color theme="0" tint="-0.34998626667073579"/>
      </bottom>
      <diagonal/>
    </border>
    <border>
      <left style="dotted">
        <color theme="0" tint="-0.34998626667073579"/>
      </left>
      <right style="thin">
        <color theme="0" tint="-0.34998626667073579"/>
      </right>
      <top style="dotted">
        <color theme="0" tint="-0.34998626667073579"/>
      </top>
      <bottom style="thin">
        <color theme="0" tint="-0.34998626667073579"/>
      </bottom>
      <diagonal/>
    </border>
    <border>
      <left style="dotted">
        <color theme="0" tint="-0.34998626667073579"/>
      </left>
      <right style="thin">
        <color theme="0" tint="-0.34998626667073579"/>
      </right>
      <top/>
      <bottom style="dotted">
        <color theme="0" tint="-0.34998626667073579"/>
      </bottom>
      <diagonal/>
    </border>
    <border>
      <left/>
      <right style="thin">
        <color theme="0" tint="-0.34998626667073579"/>
      </right>
      <top/>
      <bottom style="dotted">
        <color theme="0" tint="-0.34998626667073579"/>
      </bottom>
      <diagonal/>
    </border>
    <border>
      <left style="thin">
        <color theme="0" tint="-0.34998626667073579"/>
      </left>
      <right/>
      <top/>
      <bottom style="dotted">
        <color theme="0" tint="-0.34998626667073579"/>
      </bottom>
      <diagonal/>
    </border>
    <border>
      <left style="thin">
        <color theme="0" tint="-0.34998626667073579"/>
      </left>
      <right/>
      <top style="dotted">
        <color theme="0" tint="-0.34998626667073579"/>
      </top>
      <bottom style="dotted">
        <color theme="0" tint="-0.34998626667073579"/>
      </bottom>
      <diagonal/>
    </border>
    <border>
      <left style="thin">
        <color theme="0" tint="-0.34998626667073579"/>
      </left>
      <right style="dotted">
        <color theme="0" tint="-0.34998626667073579"/>
      </right>
      <top style="dotted">
        <color theme="0" tint="-0.34998626667073579"/>
      </top>
      <bottom/>
      <diagonal/>
    </border>
    <border>
      <left style="dotted">
        <color theme="0" tint="-0.34998626667073579"/>
      </left>
      <right style="dotted">
        <color theme="0" tint="-0.34998626667073579"/>
      </right>
      <top style="dotted">
        <color theme="0" tint="-0.34998626667073579"/>
      </top>
      <bottom/>
      <diagonal/>
    </border>
    <border>
      <left style="dotted">
        <color theme="0" tint="-0.34998626667073579"/>
      </left>
      <right style="thin">
        <color theme="0" tint="-0.34998626667073579"/>
      </right>
      <top style="dotted">
        <color theme="0" tint="-0.34998626667073579"/>
      </top>
      <bottom/>
      <diagonal/>
    </border>
    <border>
      <left/>
      <right style="dotted">
        <color theme="0" tint="-0.34998626667073579"/>
      </right>
      <top/>
      <bottom style="thin">
        <color theme="0" tint="-0.34998626667073579"/>
      </bottom>
      <diagonal/>
    </border>
    <border>
      <left style="dotted">
        <color theme="0" tint="-0.34998626667073579"/>
      </left>
      <right/>
      <top/>
      <bottom/>
      <diagonal/>
    </border>
    <border>
      <left/>
      <right style="dotted">
        <color theme="0" tint="-0.34998626667073579"/>
      </right>
      <top/>
      <bottom/>
      <diagonal/>
    </border>
    <border>
      <left style="dotted">
        <color theme="0" tint="-0.34998626667073579"/>
      </left>
      <right style="dotted">
        <color theme="0" tint="-0.34998626667073579"/>
      </right>
      <top/>
      <bottom style="thin">
        <color theme="0" tint="-0.34998626667073579"/>
      </bottom>
      <diagonal/>
    </border>
    <border>
      <left style="dotted">
        <color theme="0" tint="-0.34998626667073579"/>
      </left>
      <right/>
      <top/>
      <bottom style="thin">
        <color theme="0" tint="-0.34998626667073579"/>
      </bottom>
      <diagonal/>
    </border>
    <border>
      <left style="dotted">
        <color theme="0" tint="-0.34998626667073579"/>
      </left>
      <right style="dotted">
        <color theme="0" tint="-0.34998626667073579"/>
      </right>
      <top/>
      <bottom/>
      <diagonal/>
    </border>
    <border>
      <left style="thin">
        <color theme="0" tint="-0.24994659260841701"/>
      </left>
      <right/>
      <top style="thin">
        <color theme="0" tint="-0.24994659260841701"/>
      </top>
      <bottom/>
      <diagonal/>
    </border>
    <border>
      <left style="thin">
        <color theme="0" tint="-0.34998626667073579"/>
      </left>
      <right/>
      <top style="thin">
        <color theme="0" tint="-0.24994659260841701"/>
      </top>
      <bottom/>
      <diagonal/>
    </border>
    <border>
      <left style="thin">
        <color theme="0" tint="-0.34998626667073579"/>
      </left>
      <right style="dotted">
        <color theme="0" tint="-0.24994659260841701"/>
      </right>
      <top/>
      <bottom/>
      <diagonal/>
    </border>
    <border>
      <left style="dotted">
        <color theme="0" tint="-0.24994659260841701"/>
      </left>
      <right style="dotted">
        <color theme="0" tint="-0.24994659260841701"/>
      </right>
      <top/>
      <bottom/>
      <diagonal/>
    </border>
    <border>
      <left style="dotted">
        <color theme="0" tint="-0.24994659260841701"/>
      </left>
      <right style="thin">
        <color theme="0" tint="-0.24994659260841701"/>
      </right>
      <top/>
      <bottom/>
      <diagonal/>
    </border>
    <border>
      <left style="thin">
        <color theme="0" tint="-0.24994659260841701"/>
      </left>
      <right style="thin">
        <color theme="0" tint="-0.24994659260841701"/>
      </right>
      <top/>
      <bottom/>
      <diagonal/>
    </border>
    <border>
      <left style="dotted">
        <color theme="0" tint="-0.34998626667073579"/>
      </left>
      <right/>
      <top/>
      <bottom style="dotted">
        <color theme="0" tint="-0.34998626667073579"/>
      </bottom>
      <diagonal/>
    </border>
    <border>
      <left/>
      <right/>
      <top style="dotted">
        <color theme="0" tint="-0.34998626667073579"/>
      </top>
      <bottom style="thin">
        <color theme="0" tint="-0.34998626667073579"/>
      </bottom>
      <diagonal/>
    </border>
    <border>
      <left/>
      <right style="thin">
        <color theme="0" tint="-0.34998626667073579"/>
      </right>
      <top style="dotted">
        <color theme="0" tint="-0.34998626667073579"/>
      </top>
      <bottom style="thin">
        <color theme="0" tint="-0.34998626667073579"/>
      </bottom>
      <diagonal/>
    </border>
    <border>
      <left/>
      <right style="thin">
        <color theme="0" tint="-0.24994659260841701"/>
      </right>
      <top style="dotted">
        <color theme="0" tint="-0.34998626667073579"/>
      </top>
      <bottom style="thin">
        <color theme="0" tint="-0.34998626667073579"/>
      </bottom>
      <diagonal/>
    </border>
    <border>
      <left/>
      <right/>
      <top style="thin">
        <color theme="0" tint="-0.34998626667073579"/>
      </top>
      <bottom style="dotted">
        <color theme="0" tint="-0.34998626667073579"/>
      </bottom>
      <diagonal/>
    </border>
    <border>
      <left/>
      <right style="thin">
        <color theme="0" tint="-0.24994659260841701"/>
      </right>
      <top style="thin">
        <color theme="0" tint="-0.34998626667073579"/>
      </top>
      <bottom style="dotted">
        <color theme="0" tint="-0.34998626667073579"/>
      </bottom>
      <diagonal/>
    </border>
    <border>
      <left style="thin">
        <color theme="0" tint="-0.24994659260841701"/>
      </left>
      <right style="dotted">
        <color theme="0" tint="-0.34998626667073579"/>
      </right>
      <top style="dotted">
        <color theme="0" tint="-0.34998626667073579"/>
      </top>
      <bottom/>
      <diagonal/>
    </border>
    <border>
      <left style="thin">
        <color theme="0" tint="-0.24994659260841701"/>
      </left>
      <right style="dotted">
        <color theme="0" tint="-0.34998626667073579"/>
      </right>
      <top style="dotted">
        <color theme="0" tint="-0.34998626667073579"/>
      </top>
      <bottom style="thin">
        <color theme="0" tint="-0.24994659260841701"/>
      </bottom>
      <diagonal/>
    </border>
    <border>
      <left style="dotted">
        <color theme="0" tint="-0.34998626667073579"/>
      </left>
      <right style="dotted">
        <color theme="0" tint="-0.34998626667073579"/>
      </right>
      <top style="dotted">
        <color theme="0" tint="-0.34998626667073579"/>
      </top>
      <bottom style="thin">
        <color theme="0" tint="-0.24994659260841701"/>
      </bottom>
      <diagonal/>
    </border>
    <border>
      <left style="dotted">
        <color theme="0" tint="-0.34998626667073579"/>
      </left>
      <right style="thin">
        <color theme="0" tint="-0.34998626667073579"/>
      </right>
      <top style="dotted">
        <color theme="0" tint="-0.34998626667073579"/>
      </top>
      <bottom style="thin">
        <color theme="0" tint="-0.24994659260841701"/>
      </bottom>
      <diagonal/>
    </border>
    <border>
      <left style="thin">
        <color theme="0" tint="-0.34998626667073579"/>
      </left>
      <right style="dotted">
        <color theme="0" tint="-0.34998626667073579"/>
      </right>
      <top/>
      <bottom/>
      <diagonal/>
    </border>
    <border>
      <left style="dotted">
        <color theme="0" tint="-0.34998626667073579"/>
      </left>
      <right style="thin">
        <color theme="0" tint="-0.34998626667073579"/>
      </right>
      <top/>
      <bottom/>
      <diagonal/>
    </border>
    <border>
      <left style="dotted">
        <color theme="0" tint="-0.34998626667073579"/>
      </left>
      <right/>
      <top style="dotted">
        <color theme="0" tint="-0.34998626667073579"/>
      </top>
      <bottom/>
      <diagonal/>
    </border>
    <border>
      <left/>
      <right/>
      <top/>
      <bottom style="thin">
        <color theme="0" tint="-0.34998626667073579"/>
      </bottom>
      <diagonal/>
    </border>
    <border>
      <left style="thin">
        <color theme="0" tint="-0.24994659260841701"/>
      </left>
      <right/>
      <top/>
      <bottom/>
      <diagonal/>
    </border>
    <border>
      <left style="thin">
        <color theme="0" tint="-0.34998626667073579"/>
      </left>
      <right/>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right style="medium">
        <color theme="0" tint="-0.34998626667073579"/>
      </right>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tint="-0.34998626667073579"/>
      </left>
      <right style="dotted">
        <color theme="0" tint="-0.34998626667073579"/>
      </right>
      <top style="thin">
        <color theme="0" tint="-0.34998626667073579"/>
      </top>
      <bottom style="thin">
        <color theme="0" tint="-0.34998626667073579"/>
      </bottom>
      <diagonal/>
    </border>
    <border>
      <left style="dotted">
        <color theme="0" tint="-0.34998626667073579"/>
      </left>
      <right style="dotted">
        <color theme="0" tint="-0.34998626667073579"/>
      </right>
      <top style="thin">
        <color theme="0" tint="-0.34998626667073579"/>
      </top>
      <bottom style="thin">
        <color theme="0" tint="-0.34998626667073579"/>
      </bottom>
      <diagonal/>
    </border>
    <border>
      <left style="dotted">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dotted">
        <color theme="0" tint="-0.34998626667073579"/>
      </right>
      <top style="thin">
        <color theme="0" tint="-0.34998626667073579"/>
      </top>
      <bottom/>
      <diagonal/>
    </border>
    <border>
      <left style="dotted">
        <color theme="0" tint="-0.34998626667073579"/>
      </left>
      <right style="dotted">
        <color theme="0" tint="-0.34998626667073579"/>
      </right>
      <top style="thin">
        <color theme="0" tint="-0.34998626667073579"/>
      </top>
      <bottom/>
      <diagonal/>
    </border>
    <border>
      <left style="thin">
        <color theme="0" tint="-0.34998626667073579"/>
      </left>
      <right style="dotted">
        <color theme="0" tint="-0.34998626667073579"/>
      </right>
      <top/>
      <bottom style="thin">
        <color theme="0" tint="-0.34998626667073579"/>
      </bottom>
      <diagonal/>
    </border>
    <border>
      <left style="dotted">
        <color theme="0" tint="-0.34998626667073579"/>
      </left>
      <right/>
      <top style="thin">
        <color theme="0" tint="-0.34998626667073579"/>
      </top>
      <bottom/>
      <diagonal/>
    </border>
    <border>
      <left/>
      <right/>
      <top style="thin">
        <color theme="0" tint="-0.34998626667073579"/>
      </top>
      <bottom/>
      <diagonal/>
    </border>
    <border>
      <left/>
      <right style="dotted">
        <color theme="0" tint="-0.34998626667073579"/>
      </right>
      <top style="thin">
        <color theme="0" tint="-0.34998626667073579"/>
      </top>
      <bottom/>
      <diagonal/>
    </border>
    <border>
      <left style="dotted">
        <color theme="0" tint="-0.34998626667073579"/>
      </left>
      <right style="thin">
        <color theme="0" tint="-0.34998626667073579"/>
      </right>
      <top style="thin">
        <color theme="0" tint="-0.34998626667073579"/>
      </top>
      <bottom/>
      <diagonal/>
    </border>
    <border>
      <left/>
      <right/>
      <top/>
      <bottom style="dotted">
        <color theme="0" tint="-0.34998626667073579"/>
      </bottom>
      <diagonal/>
    </border>
    <border>
      <left/>
      <right style="dotted">
        <color theme="0" tint="-0.34998626667073579"/>
      </right>
      <top/>
      <bottom style="dotted">
        <color theme="0" tint="-0.34998626667073579"/>
      </bottom>
      <diagonal/>
    </border>
    <border>
      <left style="dotted">
        <color theme="0" tint="-0.34998626667073579"/>
      </left>
      <right style="dotted">
        <color theme="0" tint="-0.24994659260841701"/>
      </right>
      <top style="thin">
        <color theme="0" tint="-0.34998626667073579"/>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style="dotted">
        <color theme="0" tint="-0.34998626667073579"/>
      </left>
      <right style="dotted">
        <color theme="0" tint="-0.24994659260841701"/>
      </right>
      <top/>
      <bottom style="thin">
        <color theme="0" tint="-0.34998626667073579"/>
      </bottom>
      <diagonal/>
    </border>
    <border>
      <left style="dotted">
        <color theme="0" tint="-0.24994659260841701"/>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34998626667073579"/>
      </top>
      <bottom/>
      <diagonal/>
    </border>
    <border>
      <left style="dotted">
        <color theme="0" tint="-0.34998626667073579"/>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style="dotted">
        <color theme="0" tint="-0.34998626667073579"/>
      </left>
      <right style="thin">
        <color theme="0" tint="-0.34998626667073579"/>
      </right>
      <top/>
      <bottom style="thin">
        <color theme="0" tint="-0.34998626667073579"/>
      </bottom>
      <diagonal/>
    </border>
    <border>
      <left style="thin">
        <color theme="0" tint="-0.24994659260841701"/>
      </left>
      <right style="dotted">
        <color theme="0" tint="-0.24994659260841701"/>
      </right>
      <top style="thin">
        <color theme="0" tint="-0.24994659260841701"/>
      </top>
      <bottom style="thin">
        <color theme="0" tint="-0.24994659260841701"/>
      </bottom>
      <diagonal/>
    </border>
    <border>
      <left style="dotted">
        <color theme="0" tint="-0.24994659260841701"/>
      </left>
      <right style="thin">
        <color theme="0" tint="-0.24994659260841701"/>
      </right>
      <top style="thin">
        <color theme="0" tint="-0.24994659260841701"/>
      </top>
      <bottom/>
      <diagonal/>
    </border>
    <border>
      <left style="dotted">
        <color theme="0" tint="-0.24994659260841701"/>
      </left>
      <right/>
      <top style="thin">
        <color theme="0" tint="-0.24994659260841701"/>
      </top>
      <bottom style="thin">
        <color theme="0" tint="-0.24994659260841701"/>
      </bottom>
      <diagonal/>
    </border>
    <border>
      <left/>
      <right style="dotted">
        <color theme="0" tint="-0.24994659260841701"/>
      </right>
      <top style="thin">
        <color theme="0" tint="-0.24994659260841701"/>
      </top>
      <bottom style="thin">
        <color theme="0" tint="-0.24994659260841701"/>
      </bottom>
      <diagonal/>
    </border>
    <border>
      <left style="dotted">
        <color theme="0" tint="-0.24994659260841701"/>
      </left>
      <right style="thin">
        <color theme="0" tint="-0.24994659260841701"/>
      </right>
      <top/>
      <bottom style="thin">
        <color theme="0" tint="-0.24994659260841701"/>
      </bottom>
      <diagonal/>
    </border>
    <border>
      <left style="thin">
        <color theme="0" tint="-0.24994659260841701"/>
      </left>
      <right style="dotted">
        <color theme="0" tint="-0.24994659260841701"/>
      </right>
      <top/>
      <bottom style="thin">
        <color theme="0" tint="-0.24994659260841701"/>
      </bottom>
      <diagonal/>
    </border>
    <border>
      <left/>
      <right style="dotted">
        <color theme="0" tint="-0.24994659260841701"/>
      </right>
      <top style="thin">
        <color theme="0" tint="-0.24994659260841701"/>
      </top>
      <bottom/>
      <diagonal/>
    </border>
    <border>
      <left/>
      <right style="dotted">
        <color theme="0" tint="-0.24994659260841701"/>
      </right>
      <top/>
      <bottom style="thin">
        <color theme="0" tint="-0.24994659260841701"/>
      </bottom>
      <diagonal/>
    </border>
    <border>
      <left style="medium">
        <color rgb="FF000000"/>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indexed="64"/>
      </bottom>
      <diagonal/>
    </border>
    <border>
      <left style="medium">
        <color rgb="FF000000"/>
      </left>
      <right/>
      <top style="medium">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indexed="64"/>
      </left>
      <right style="thin">
        <color indexed="64"/>
      </right>
      <top style="thin">
        <color indexed="64"/>
      </top>
      <bottom/>
      <diagonal/>
    </border>
    <border>
      <left/>
      <right/>
      <top style="thin">
        <color theme="1"/>
      </top>
      <bottom style="thin">
        <color theme="1"/>
      </bottom>
      <diagonal/>
    </border>
  </borders>
  <cellStyleXfs count="16">
    <xf numFmtId="0" fontId="0" fillId="0" borderId="0"/>
    <xf numFmtId="0" fontId="3" fillId="0" borderId="0"/>
    <xf numFmtId="9" fontId="11" fillId="0" borderId="0" applyFont="0" applyFill="0" applyBorder="0" applyAlignment="0" applyProtection="0"/>
    <xf numFmtId="164" fontId="11" fillId="0" borderId="0" applyFont="0" applyFill="0" applyBorder="0" applyAlignment="0" applyProtection="0"/>
    <xf numFmtId="42"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0" fontId="11" fillId="0" borderId="0"/>
    <xf numFmtId="0" fontId="14" fillId="0" borderId="0"/>
    <xf numFmtId="0" fontId="67" fillId="20" borderId="0" applyNumberFormat="0" applyBorder="0" applyAlignment="0" applyProtection="0"/>
    <xf numFmtId="0" fontId="68" fillId="21" borderId="0" applyNumberFormat="0" applyBorder="0" applyAlignment="0" applyProtection="0"/>
    <xf numFmtId="0" fontId="69" fillId="22" borderId="0" applyNumberFormat="0" applyBorder="0" applyAlignment="0" applyProtection="0"/>
    <xf numFmtId="9" fontId="14" fillId="0" borderId="0" applyFont="0" applyFill="0" applyBorder="0" applyAlignment="0" applyProtection="0"/>
    <xf numFmtId="0" fontId="3" fillId="0" borderId="0">
      <alignment wrapText="1"/>
    </xf>
    <xf numFmtId="0" fontId="118" fillId="0" borderId="0" applyNumberFormat="0" applyFill="0" applyBorder="0" applyAlignment="0" applyProtection="0"/>
    <xf numFmtId="43" fontId="11" fillId="0" borderId="0" applyFont="0" applyFill="0" applyBorder="0" applyAlignment="0" applyProtection="0"/>
  </cellStyleXfs>
  <cellXfs count="1636">
    <xf numFmtId="0" fontId="0" fillId="0" borderId="0" xfId="0"/>
    <xf numFmtId="0" fontId="1" fillId="0" borderId="0" xfId="0" applyFont="1"/>
    <xf numFmtId="0" fontId="16" fillId="0" borderId="0" xfId="0" applyFont="1"/>
    <xf numFmtId="0" fontId="12" fillId="0" borderId="0" xfId="0" applyFont="1" applyAlignment="1">
      <alignment horizontal="left" vertical="center"/>
    </xf>
    <xf numFmtId="0" fontId="17" fillId="0" borderId="0" xfId="0" applyFont="1" applyAlignment="1">
      <alignment horizontal="center" vertical="center"/>
    </xf>
    <xf numFmtId="0" fontId="19" fillId="4" borderId="4" xfId="1" applyFont="1" applyFill="1" applyBorder="1" applyAlignment="1">
      <alignment vertical="center" wrapText="1"/>
    </xf>
    <xf numFmtId="0" fontId="19" fillId="4" borderId="12" xfId="1" applyFont="1" applyFill="1" applyBorder="1" applyAlignment="1">
      <alignment vertical="center"/>
    </xf>
    <xf numFmtId="0" fontId="19" fillId="0" borderId="0" xfId="1" applyFont="1" applyAlignment="1">
      <alignment vertical="center"/>
    </xf>
    <xf numFmtId="0" fontId="19" fillId="0" borderId="0" xfId="1" applyFont="1" applyAlignment="1">
      <alignment horizontal="center" vertical="center" wrapText="1"/>
    </xf>
    <xf numFmtId="0" fontId="12" fillId="0" borderId="0" xfId="0" applyFont="1" applyAlignment="1">
      <alignment vertical="center"/>
    </xf>
    <xf numFmtId="0" fontId="12" fillId="4" borderId="12" xfId="0" applyFont="1" applyFill="1" applyBorder="1" applyAlignment="1">
      <alignment horizontal="left" vertical="center" wrapText="1"/>
    </xf>
    <xf numFmtId="0" fontId="12" fillId="0" borderId="0" xfId="0" applyFont="1" applyAlignment="1">
      <alignment horizontal="left" vertical="center" wrapText="1"/>
    </xf>
    <xf numFmtId="0" fontId="12" fillId="0" borderId="4" xfId="0" applyFont="1" applyBorder="1" applyAlignment="1">
      <alignment vertical="center" wrapText="1"/>
    </xf>
    <xf numFmtId="0" fontId="0" fillId="0" borderId="0" xfId="0" applyAlignment="1">
      <alignment vertical="center"/>
    </xf>
    <xf numFmtId="0" fontId="0" fillId="0" borderId="0" xfId="0" applyAlignment="1">
      <alignment horizontal="center" vertical="center"/>
    </xf>
    <xf numFmtId="0" fontId="7" fillId="0" borderId="0" xfId="0" applyFont="1" applyAlignment="1">
      <alignment vertical="center"/>
    </xf>
    <xf numFmtId="0" fontId="5" fillId="0" borderId="14" xfId="0" applyFont="1" applyBorder="1" applyAlignment="1">
      <alignment vertical="center"/>
    </xf>
    <xf numFmtId="0" fontId="5" fillId="0" borderId="22" xfId="0" applyFont="1" applyBorder="1" applyAlignment="1">
      <alignment vertical="center"/>
    </xf>
    <xf numFmtId="0" fontId="5" fillId="0" borderId="19" xfId="0" applyFont="1" applyBorder="1" applyAlignment="1">
      <alignment vertical="center"/>
    </xf>
    <xf numFmtId="0" fontId="5" fillId="0" borderId="20" xfId="0" applyFont="1" applyBorder="1" applyAlignment="1">
      <alignment vertical="center"/>
    </xf>
    <xf numFmtId="0" fontId="7" fillId="0" borderId="0" xfId="0" applyFont="1" applyAlignment="1">
      <alignment horizontal="center" vertical="center"/>
    </xf>
    <xf numFmtId="0" fontId="7" fillId="0" borderId="11" xfId="0" applyFont="1" applyBorder="1" applyAlignment="1">
      <alignment vertical="center"/>
    </xf>
    <xf numFmtId="0" fontId="7" fillId="0" borderId="1" xfId="0" applyFont="1" applyBorder="1" applyAlignment="1">
      <alignment vertical="center"/>
    </xf>
    <xf numFmtId="0" fontId="7" fillId="0" borderId="10" xfId="0" applyFont="1" applyBorder="1" applyAlignment="1">
      <alignment vertical="center"/>
    </xf>
    <xf numFmtId="0" fontId="7" fillId="0" borderId="9" xfId="0" applyFont="1" applyBorder="1" applyAlignment="1">
      <alignment vertical="center"/>
    </xf>
    <xf numFmtId="0" fontId="7" fillId="0" borderId="8" xfId="0" applyFont="1" applyBorder="1" applyAlignment="1">
      <alignment vertical="center"/>
    </xf>
    <xf numFmtId="0" fontId="7" fillId="0" borderId="7" xfId="0" applyFont="1" applyBorder="1" applyAlignment="1">
      <alignment vertical="center"/>
    </xf>
    <xf numFmtId="0" fontId="7" fillId="0" borderId="2" xfId="0" applyFont="1" applyBorder="1" applyAlignment="1">
      <alignment vertical="center"/>
    </xf>
    <xf numFmtId="0" fontId="7" fillId="0" borderId="6" xfId="0" applyFont="1" applyBorder="1" applyAlignment="1">
      <alignment vertical="center"/>
    </xf>
    <xf numFmtId="0" fontId="12" fillId="0" borderId="0" xfId="0" applyFont="1" applyAlignment="1">
      <alignment horizontal="center" vertical="center"/>
    </xf>
    <xf numFmtId="0" fontId="7" fillId="2" borderId="0" xfId="0" applyFont="1" applyFill="1" applyAlignment="1">
      <alignment vertical="center"/>
    </xf>
    <xf numFmtId="0" fontId="12" fillId="2" borderId="0" xfId="0" applyFont="1" applyFill="1" applyAlignment="1">
      <alignment vertical="center"/>
    </xf>
    <xf numFmtId="0" fontId="0" fillId="0" borderId="0" xfId="0" applyAlignment="1">
      <alignment vertical="center" wrapText="1"/>
    </xf>
    <xf numFmtId="0" fontId="7" fillId="0" borderId="0" xfId="0" applyFont="1" applyAlignment="1">
      <alignment vertical="center" wrapText="1"/>
    </xf>
    <xf numFmtId="0" fontId="19" fillId="0" borderId="0" xfId="1" applyFont="1" applyAlignment="1">
      <alignment horizontal="center" vertical="center"/>
    </xf>
    <xf numFmtId="0" fontId="20" fillId="0" borderId="0" xfId="1" applyFont="1" applyAlignment="1">
      <alignment vertical="center" wrapText="1"/>
    </xf>
    <xf numFmtId="0" fontId="18" fillId="5" borderId="4" xfId="1" applyFont="1" applyFill="1" applyBorder="1" applyAlignment="1">
      <alignment horizontal="left" vertical="center"/>
    </xf>
    <xf numFmtId="0" fontId="19" fillId="5" borderId="3" xfId="1" applyFont="1" applyFill="1" applyBorder="1" applyAlignment="1">
      <alignment horizontal="center" vertical="center" wrapText="1"/>
    </xf>
    <xf numFmtId="0" fontId="19" fillId="5" borderId="5" xfId="1" applyFont="1" applyFill="1" applyBorder="1" applyAlignment="1">
      <alignment horizontal="center" vertical="center" wrapText="1"/>
    </xf>
    <xf numFmtId="0" fontId="19" fillId="0" borderId="0" xfId="1" applyFont="1" applyAlignment="1">
      <alignment vertical="center" wrapText="1"/>
    </xf>
    <xf numFmtId="0" fontId="19" fillId="2" borderId="0" xfId="1" applyFont="1" applyFill="1" applyAlignment="1">
      <alignment vertical="center"/>
    </xf>
    <xf numFmtId="0" fontId="7" fillId="2" borderId="0" xfId="0" applyFont="1" applyFill="1" applyAlignment="1">
      <alignment vertical="center" wrapText="1"/>
    </xf>
    <xf numFmtId="0" fontId="12" fillId="2" borderId="0" xfId="0" applyFont="1" applyFill="1" applyAlignment="1">
      <alignment horizontal="center" vertical="center"/>
    </xf>
    <xf numFmtId="0" fontId="12" fillId="0" borderId="0" xfId="0" applyFont="1" applyAlignment="1">
      <alignment horizontal="center" vertical="center" wrapText="1"/>
    </xf>
    <xf numFmtId="0" fontId="17" fillId="0" borderId="0" xfId="0" applyFont="1" applyAlignment="1">
      <alignment horizontal="left" vertical="center"/>
    </xf>
    <xf numFmtId="0" fontId="19" fillId="0" borderId="0" xfId="1" applyFont="1" applyAlignment="1">
      <alignment horizontal="left" vertical="center" wrapText="1"/>
    </xf>
    <xf numFmtId="0" fontId="7" fillId="0" borderId="0" xfId="0" applyFont="1" applyAlignment="1">
      <alignment horizontal="center" vertical="center" wrapText="1"/>
    </xf>
    <xf numFmtId="0" fontId="12" fillId="0" borderId="14" xfId="0" applyFont="1" applyBorder="1" applyAlignment="1">
      <alignment vertical="center"/>
    </xf>
    <xf numFmtId="0" fontId="7" fillId="0" borderId="0" xfId="0" applyFont="1" applyAlignment="1">
      <alignment horizontal="left" vertical="center"/>
    </xf>
    <xf numFmtId="14" fontId="20" fillId="0" borderId="16" xfId="1" applyNumberFormat="1" applyFont="1" applyBorder="1" applyAlignment="1">
      <alignment horizontal="center" vertical="center"/>
    </xf>
    <xf numFmtId="14" fontId="20" fillId="0" borderId="17" xfId="1" applyNumberFormat="1" applyFont="1" applyBorder="1" applyAlignment="1">
      <alignment horizontal="center" vertical="center"/>
    </xf>
    <xf numFmtId="14" fontId="20" fillId="0" borderId="29" xfId="1" applyNumberFormat="1" applyFont="1" applyBorder="1" applyAlignment="1">
      <alignment horizontal="center" vertical="center"/>
    </xf>
    <xf numFmtId="14" fontId="20" fillId="0" borderId="30" xfId="1" applyNumberFormat="1" applyFont="1" applyBorder="1" applyAlignment="1">
      <alignment horizontal="center" vertical="center"/>
    </xf>
    <xf numFmtId="14" fontId="20" fillId="0" borderId="14" xfId="1" applyNumberFormat="1" applyFont="1" applyBorder="1" applyAlignment="1">
      <alignment horizontal="center" vertical="center"/>
    </xf>
    <xf numFmtId="14" fontId="20" fillId="0" borderId="22" xfId="1" applyNumberFormat="1" applyFont="1" applyBorder="1" applyAlignment="1">
      <alignment horizontal="center" vertical="center"/>
    </xf>
    <xf numFmtId="14" fontId="20" fillId="0" borderId="19" xfId="1" applyNumberFormat="1" applyFont="1" applyBorder="1" applyAlignment="1">
      <alignment horizontal="center" vertical="center"/>
    </xf>
    <xf numFmtId="14" fontId="20" fillId="0" borderId="20" xfId="1" applyNumberFormat="1" applyFont="1" applyBorder="1" applyAlignment="1">
      <alignment horizontal="center" vertical="center"/>
    </xf>
    <xf numFmtId="14" fontId="20" fillId="0" borderId="21" xfId="1" applyNumberFormat="1" applyFont="1" applyBorder="1" applyAlignment="1">
      <alignment horizontal="center" vertical="center"/>
    </xf>
    <xf numFmtId="14" fontId="20" fillId="0" borderId="18" xfId="1" applyNumberFormat="1" applyFont="1" applyBorder="1" applyAlignment="1">
      <alignment horizontal="center" vertical="center"/>
    </xf>
    <xf numFmtId="0" fontId="1" fillId="14" borderId="14" xfId="0" applyFont="1" applyFill="1" applyBorder="1" applyAlignment="1">
      <alignment horizontal="center" vertical="center"/>
    </xf>
    <xf numFmtId="0" fontId="0" fillId="14" borderId="14" xfId="0" applyFill="1" applyBorder="1" applyAlignment="1">
      <alignment horizontal="center" vertical="center"/>
    </xf>
    <xf numFmtId="0" fontId="1" fillId="14" borderId="27" xfId="0" applyFont="1" applyFill="1" applyBorder="1" applyAlignment="1">
      <alignment vertical="center" wrapText="1"/>
    </xf>
    <xf numFmtId="0" fontId="23" fillId="16" borderId="41" xfId="0" applyFont="1" applyFill="1" applyBorder="1" applyAlignment="1">
      <alignment vertical="center" wrapText="1"/>
    </xf>
    <xf numFmtId="0" fontId="23" fillId="0" borderId="41" xfId="0" applyFont="1" applyBorder="1" applyAlignment="1">
      <alignment vertical="center" wrapText="1"/>
    </xf>
    <xf numFmtId="0" fontId="24" fillId="16" borderId="41" xfId="0" applyFont="1" applyFill="1" applyBorder="1" applyAlignment="1">
      <alignment vertical="center" wrapText="1"/>
    </xf>
    <xf numFmtId="0" fontId="24" fillId="16" borderId="0" xfId="0" applyFont="1" applyFill="1" applyAlignment="1">
      <alignment vertical="center" wrapText="1"/>
    </xf>
    <xf numFmtId="0" fontId="24" fillId="0" borderId="41" xfId="0" applyFont="1" applyBorder="1" applyAlignment="1">
      <alignment vertical="center" wrapText="1"/>
    </xf>
    <xf numFmtId="0" fontId="24" fillId="0" borderId="0" xfId="0" applyFont="1" applyAlignment="1">
      <alignment vertical="center" wrapText="1"/>
    </xf>
    <xf numFmtId="0" fontId="24" fillId="11" borderId="41" xfId="0" applyFont="1" applyFill="1" applyBorder="1" applyAlignment="1">
      <alignment vertical="center" wrapText="1"/>
    </xf>
    <xf numFmtId="0" fontId="24" fillId="11" borderId="41" xfId="0" applyFont="1" applyFill="1" applyBorder="1" applyAlignment="1">
      <alignment vertical="top" wrapText="1"/>
    </xf>
    <xf numFmtId="0" fontId="24" fillId="11" borderId="0" xfId="0" applyFont="1" applyFill="1" applyAlignment="1">
      <alignment vertical="center" wrapText="1"/>
    </xf>
    <xf numFmtId="0" fontId="25" fillId="0" borderId="0" xfId="0" applyFont="1"/>
    <xf numFmtId="0" fontId="26" fillId="0" borderId="0" xfId="0" applyFont="1"/>
    <xf numFmtId="0" fontId="27" fillId="14" borderId="27" xfId="0" applyFont="1" applyFill="1" applyBorder="1" applyAlignment="1">
      <alignment vertical="center" wrapText="1"/>
    </xf>
    <xf numFmtId="0" fontId="27" fillId="14" borderId="14" xfId="0" applyFont="1" applyFill="1" applyBorder="1" applyAlignment="1">
      <alignment horizontal="center" vertical="center"/>
    </xf>
    <xf numFmtId="0" fontId="22" fillId="0" borderId="0" xfId="0" applyFont="1"/>
    <xf numFmtId="0" fontId="28" fillId="13" borderId="14" xfId="0" applyFont="1" applyFill="1" applyBorder="1" applyAlignment="1">
      <alignment vertical="center" wrapText="1"/>
    </xf>
    <xf numFmtId="0" fontId="22" fillId="0" borderId="14" xfId="0" applyFont="1" applyBorder="1" applyAlignment="1">
      <alignment horizontal="center" vertical="center" wrapText="1"/>
    </xf>
    <xf numFmtId="0" fontId="22" fillId="0" borderId="14" xfId="0" applyFont="1" applyBorder="1" applyAlignment="1">
      <alignment horizontal="center" vertical="center"/>
    </xf>
    <xf numFmtId="0" fontId="22" fillId="0" borderId="14" xfId="0" applyFont="1" applyBorder="1" applyAlignment="1">
      <alignment wrapText="1"/>
    </xf>
    <xf numFmtId="0" fontId="22" fillId="0" borderId="14" xfId="0" applyFont="1" applyBorder="1" applyAlignment="1">
      <alignment vertical="center" wrapText="1"/>
    </xf>
    <xf numFmtId="0" fontId="22" fillId="0" borderId="14" xfId="0" applyFont="1" applyBorder="1"/>
    <xf numFmtId="0" fontId="27" fillId="14" borderId="14" xfId="0" applyFont="1" applyFill="1" applyBorder="1" applyAlignment="1">
      <alignment wrapText="1"/>
    </xf>
    <xf numFmtId="0" fontId="22" fillId="0" borderId="0" xfId="0" applyFont="1" applyAlignment="1">
      <alignment horizontal="center" vertical="center"/>
    </xf>
    <xf numFmtId="0" fontId="29" fillId="16" borderId="41" xfId="0" applyFont="1" applyFill="1" applyBorder="1" applyAlignment="1">
      <alignment vertical="center" wrapText="1"/>
    </xf>
    <xf numFmtId="0" fontId="22" fillId="0" borderId="14" xfId="0" applyFont="1" applyBorder="1" applyAlignment="1">
      <alignment vertical="center"/>
    </xf>
    <xf numFmtId="0" fontId="23" fillId="12" borderId="41" xfId="0" applyFont="1" applyFill="1" applyBorder="1" applyAlignment="1">
      <alignment vertical="center" wrapText="1"/>
    </xf>
    <xf numFmtId="0" fontId="23" fillId="12" borderId="0" xfId="0" applyFont="1" applyFill="1" applyAlignment="1">
      <alignment vertical="center" wrapText="1"/>
    </xf>
    <xf numFmtId="0" fontId="23" fillId="12" borderId="41" xfId="0" applyFont="1" applyFill="1" applyBorder="1" applyAlignment="1">
      <alignment vertical="center"/>
    </xf>
    <xf numFmtId="0" fontId="2" fillId="0" borderId="0" xfId="0" applyFont="1"/>
    <xf numFmtId="0" fontId="2" fillId="0" borderId="0" xfId="0" applyFont="1" applyAlignment="1">
      <alignment horizontal="center" vertical="center"/>
    </xf>
    <xf numFmtId="0" fontId="13" fillId="0" borderId="0" xfId="0" applyFont="1" applyAlignment="1">
      <alignment horizontal="left" vertical="center"/>
    </xf>
    <xf numFmtId="0" fontId="32" fillId="0" borderId="0" xfId="0" applyFont="1" applyAlignment="1">
      <alignment horizontal="center" vertical="center"/>
    </xf>
    <xf numFmtId="0" fontId="19" fillId="2" borderId="4" xfId="1" applyFont="1" applyFill="1" applyBorder="1" applyAlignment="1">
      <alignment vertical="center"/>
    </xf>
    <xf numFmtId="0" fontId="19" fillId="2" borderId="3" xfId="1" applyFont="1" applyFill="1" applyBorder="1" applyAlignment="1">
      <alignment vertical="center"/>
    </xf>
    <xf numFmtId="0" fontId="19" fillId="2" borderId="3" xfId="1" applyFont="1" applyFill="1" applyBorder="1" applyAlignment="1">
      <alignment vertical="center" wrapText="1"/>
    </xf>
    <xf numFmtId="0" fontId="12" fillId="4" borderId="12" xfId="0" applyFont="1" applyFill="1" applyBorder="1" applyAlignment="1">
      <alignment vertical="center" wrapText="1"/>
    </xf>
    <xf numFmtId="0" fontId="1" fillId="0" borderId="0" xfId="0" applyFont="1" applyAlignment="1">
      <alignment horizontal="left" vertical="center"/>
    </xf>
    <xf numFmtId="0" fontId="10" fillId="4" borderId="4" xfId="1" applyFont="1" applyFill="1" applyBorder="1" applyAlignment="1">
      <alignment vertical="center" wrapText="1"/>
    </xf>
    <xf numFmtId="0" fontId="19" fillId="0" borderId="3" xfId="1" applyFont="1" applyBorder="1" applyAlignment="1">
      <alignment vertical="center" wrapText="1"/>
    </xf>
    <xf numFmtId="0" fontId="19" fillId="0" borderId="5" xfId="1" applyFont="1" applyBorder="1" applyAlignment="1">
      <alignment vertical="center" wrapText="1"/>
    </xf>
    <xf numFmtId="0" fontId="10" fillId="4" borderId="4" xfId="1" applyFont="1" applyFill="1" applyBorder="1" applyAlignment="1">
      <alignment vertical="center"/>
    </xf>
    <xf numFmtId="0" fontId="10" fillId="4" borderId="12" xfId="1" applyFont="1" applyFill="1" applyBorder="1" applyAlignment="1">
      <alignment vertical="center" wrapText="1"/>
    </xf>
    <xf numFmtId="0" fontId="27" fillId="14" borderId="14" xfId="0" applyFont="1" applyFill="1" applyBorder="1" applyAlignment="1">
      <alignment horizontal="center" vertical="center" wrapText="1"/>
    </xf>
    <xf numFmtId="0" fontId="23" fillId="2" borderId="42" xfId="0" applyFont="1" applyFill="1" applyBorder="1" applyAlignment="1">
      <alignment horizontal="center" vertical="center" wrapText="1"/>
    </xf>
    <xf numFmtId="0" fontId="23" fillId="2" borderId="43" xfId="0" applyFont="1" applyFill="1" applyBorder="1" applyAlignment="1">
      <alignment horizontal="center" vertical="center" wrapText="1"/>
    </xf>
    <xf numFmtId="0" fontId="23" fillId="11" borderId="42" xfId="0" applyFont="1" applyFill="1" applyBorder="1" applyAlignment="1">
      <alignment horizontal="center" vertical="center" wrapText="1"/>
    </xf>
    <xf numFmtId="0" fontId="23" fillId="11" borderId="43" xfId="0" applyFont="1" applyFill="1" applyBorder="1" applyAlignment="1">
      <alignment horizontal="center" vertical="center" wrapText="1"/>
    </xf>
    <xf numFmtId="0" fontId="23" fillId="0" borderId="0" xfId="0" applyFont="1" applyAlignment="1">
      <alignment horizontal="center" vertical="center" wrapText="1"/>
    </xf>
    <xf numFmtId="0" fontId="23" fillId="11" borderId="0" xfId="0" applyFont="1" applyFill="1" applyAlignment="1">
      <alignment horizontal="center" vertical="center" wrapText="1"/>
    </xf>
    <xf numFmtId="0" fontId="23" fillId="2" borderId="0" xfId="0" applyFont="1" applyFill="1" applyAlignment="1">
      <alignment horizontal="center" vertical="center" wrapText="1"/>
    </xf>
    <xf numFmtId="0" fontId="19" fillId="4" borderId="17" xfId="1" applyFont="1" applyFill="1" applyBorder="1" applyAlignment="1">
      <alignment horizontal="center" vertical="center"/>
    </xf>
    <xf numFmtId="0" fontId="40" fillId="0" borderId="0" xfId="0" applyFont="1"/>
    <xf numFmtId="0" fontId="5" fillId="0" borderId="29" xfId="0" applyFont="1" applyBorder="1" applyAlignment="1">
      <alignment vertical="center"/>
    </xf>
    <xf numFmtId="0" fontId="5" fillId="0" borderId="30" xfId="0" applyFont="1" applyBorder="1" applyAlignment="1">
      <alignment vertical="center"/>
    </xf>
    <xf numFmtId="0" fontId="9" fillId="4" borderId="48"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4" fillId="0" borderId="4" xfId="0" applyFont="1" applyBorder="1" applyAlignment="1">
      <alignment vertical="center"/>
    </xf>
    <xf numFmtId="0" fontId="4" fillId="0" borderId="3" xfId="0" applyFont="1" applyBorder="1" applyAlignment="1">
      <alignment vertical="center"/>
    </xf>
    <xf numFmtId="0" fontId="4" fillId="0" borderId="5" xfId="0" applyFont="1" applyBorder="1" applyAlignment="1">
      <alignment vertical="center"/>
    </xf>
    <xf numFmtId="0" fontId="19" fillId="10" borderId="49" xfId="1" applyFont="1" applyFill="1" applyBorder="1" applyAlignment="1">
      <alignment horizontal="center" vertical="center"/>
    </xf>
    <xf numFmtId="14" fontId="20" fillId="0" borderId="44" xfId="1" applyNumberFormat="1" applyFont="1" applyBorder="1" applyAlignment="1">
      <alignment horizontal="center" vertical="center"/>
    </xf>
    <xf numFmtId="14" fontId="20" fillId="0" borderId="39" xfId="1" applyNumberFormat="1" applyFont="1" applyBorder="1" applyAlignment="1">
      <alignment horizontal="center" vertical="center"/>
    </xf>
    <xf numFmtId="14" fontId="20" fillId="0" borderId="40" xfId="1" applyNumberFormat="1" applyFont="1" applyBorder="1" applyAlignment="1">
      <alignment horizontal="center" vertical="center"/>
    </xf>
    <xf numFmtId="14" fontId="20" fillId="0" borderId="46" xfId="1" applyNumberFormat="1" applyFont="1" applyBorder="1" applyAlignment="1">
      <alignment horizontal="center" vertical="center"/>
    </xf>
    <xf numFmtId="0" fontId="19" fillId="4" borderId="15" xfId="1" applyFont="1" applyFill="1" applyBorder="1" applyAlignment="1">
      <alignment horizontal="center" vertical="center"/>
    </xf>
    <xf numFmtId="0" fontId="19" fillId="2" borderId="18" xfId="1" applyFont="1" applyFill="1" applyBorder="1" applyAlignment="1">
      <alignment horizontal="center" vertical="center"/>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7" fillId="0" borderId="3" xfId="0" applyFont="1" applyBorder="1" applyAlignment="1">
      <alignment vertical="center"/>
    </xf>
    <xf numFmtId="0" fontId="7" fillId="0" borderId="5" xfId="0" applyFont="1" applyBorder="1" applyAlignment="1">
      <alignment vertical="center"/>
    </xf>
    <xf numFmtId="0" fontId="13" fillId="0" borderId="2" xfId="0" applyFont="1" applyBorder="1" applyAlignment="1">
      <alignment vertical="center"/>
    </xf>
    <xf numFmtId="0" fontId="12" fillId="0" borderId="2" xfId="0" applyFont="1" applyBorder="1" applyAlignment="1">
      <alignment vertical="center"/>
    </xf>
    <xf numFmtId="0" fontId="43" fillId="0" borderId="0" xfId="0" applyFont="1" applyAlignment="1">
      <alignment vertical="center" wrapText="1"/>
    </xf>
    <xf numFmtId="0" fontId="12" fillId="0" borderId="14" xfId="0" applyFont="1" applyBorder="1" applyAlignment="1">
      <alignment horizontal="center" vertical="center"/>
    </xf>
    <xf numFmtId="0" fontId="7" fillId="0" borderId="14" xfId="0" applyFont="1" applyBorder="1" applyAlignment="1">
      <alignment vertical="center"/>
    </xf>
    <xf numFmtId="0" fontId="12" fillId="0" borderId="29" xfId="0" applyFont="1" applyBorder="1" applyAlignment="1">
      <alignment horizontal="center" vertical="center"/>
    </xf>
    <xf numFmtId="0" fontId="19" fillId="7" borderId="50" xfId="0" applyFont="1" applyFill="1" applyBorder="1" applyAlignment="1">
      <alignment horizontal="center" vertical="center" wrapText="1"/>
    </xf>
    <xf numFmtId="15" fontId="12" fillId="0" borderId="34" xfId="0" applyNumberFormat="1" applyFont="1" applyBorder="1" applyAlignment="1">
      <alignment horizontal="center" vertical="center"/>
    </xf>
    <xf numFmtId="15" fontId="12" fillId="0" borderId="21" xfId="0" applyNumberFormat="1" applyFont="1" applyBorder="1" applyAlignment="1">
      <alignment horizontal="center" vertical="center"/>
    </xf>
    <xf numFmtId="15" fontId="12" fillId="0" borderId="18" xfId="0" applyNumberFormat="1" applyFont="1" applyBorder="1" applyAlignment="1">
      <alignment horizontal="center" vertical="center"/>
    </xf>
    <xf numFmtId="0" fontId="7" fillId="0" borderId="19" xfId="0" applyFont="1" applyBorder="1" applyAlignment="1">
      <alignment vertical="center"/>
    </xf>
    <xf numFmtId="0" fontId="12" fillId="8" borderId="50" xfId="0" applyFont="1" applyFill="1" applyBorder="1" applyAlignment="1">
      <alignment horizontal="center" vertical="center"/>
    </xf>
    <xf numFmtId="0" fontId="12" fillId="0" borderId="48" xfId="0" applyFont="1" applyBorder="1" applyAlignment="1">
      <alignment horizontal="right" vertical="center"/>
    </xf>
    <xf numFmtId="0" fontId="12" fillId="8" borderId="48" xfId="0" applyFont="1" applyFill="1" applyBorder="1" applyAlignment="1">
      <alignment horizontal="center" vertical="center"/>
    </xf>
    <xf numFmtId="9" fontId="12" fillId="8" borderId="49" xfId="2" applyFont="1" applyFill="1" applyBorder="1" applyAlignment="1">
      <alignment horizontal="center" vertical="center"/>
    </xf>
    <xf numFmtId="0" fontId="12" fillId="0" borderId="53" xfId="0" applyFont="1" applyBorder="1" applyAlignment="1">
      <alignment vertical="center"/>
    </xf>
    <xf numFmtId="0" fontId="19" fillId="7" borderId="11" xfId="0" applyFont="1" applyFill="1" applyBorder="1" applyAlignment="1">
      <alignment horizontal="center" vertical="center" wrapText="1"/>
    </xf>
    <xf numFmtId="0" fontId="19" fillId="7" borderId="57" xfId="0" applyFont="1" applyFill="1" applyBorder="1" applyAlignment="1">
      <alignment horizontal="center" vertical="center" wrapText="1"/>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0" borderId="19" xfId="0" applyFont="1" applyBorder="1" applyAlignment="1">
      <alignment horizontal="center" vertical="center"/>
    </xf>
    <xf numFmtId="0" fontId="7" fillId="0" borderId="3" xfId="0" applyFont="1" applyBorder="1" applyAlignment="1">
      <alignment horizontal="left" vertical="center"/>
    </xf>
    <xf numFmtId="0" fontId="7" fillId="0" borderId="5" xfId="0" applyFont="1" applyBorder="1" applyAlignment="1">
      <alignment horizontal="center" vertical="center"/>
    </xf>
    <xf numFmtId="0" fontId="19" fillId="4" borderId="12" xfId="1" applyFont="1" applyFill="1" applyBorder="1" applyAlignment="1">
      <alignment horizontal="center" vertical="center" wrapText="1"/>
    </xf>
    <xf numFmtId="0" fontId="1" fillId="0" borderId="14" xfId="0" applyFont="1" applyBorder="1" applyAlignment="1">
      <alignment horizontal="center" vertical="center" wrapText="1"/>
    </xf>
    <xf numFmtId="0" fontId="1" fillId="0" borderId="19" xfId="0" applyFont="1" applyBorder="1" applyAlignment="1">
      <alignment horizontal="center" vertical="center" wrapText="1"/>
    </xf>
    <xf numFmtId="0" fontId="12" fillId="0" borderId="11" xfId="0" applyFont="1" applyBorder="1" applyAlignment="1">
      <alignment vertical="center" wrapText="1"/>
    </xf>
    <xf numFmtId="0" fontId="12" fillId="0" borderId="10" xfId="0" applyFont="1" applyBorder="1" applyAlignment="1">
      <alignment vertical="center" wrapText="1"/>
    </xf>
    <xf numFmtId="0" fontId="12" fillId="0" borderId="3" xfId="0" applyFont="1" applyBorder="1" applyAlignment="1">
      <alignment vertical="center"/>
    </xf>
    <xf numFmtId="0" fontId="12" fillId="0" borderId="5" xfId="0" applyFont="1" applyBorder="1" applyAlignment="1">
      <alignment vertical="center"/>
    </xf>
    <xf numFmtId="0" fontId="12" fillId="0" borderId="4" xfId="0" applyFont="1" applyBorder="1" applyAlignment="1">
      <alignment horizontal="left" vertical="top" wrapText="1"/>
    </xf>
    <xf numFmtId="0" fontId="12" fillId="0" borderId="3" xfId="0" applyFont="1" applyBorder="1" applyAlignment="1">
      <alignment vertical="center" wrapText="1"/>
    </xf>
    <xf numFmtId="0" fontId="15" fillId="0" borderId="7" xfId="0" applyFont="1" applyBorder="1" applyAlignment="1">
      <alignment vertical="center"/>
    </xf>
    <xf numFmtId="0" fontId="7" fillId="0" borderId="14" xfId="0" applyFont="1" applyBorder="1" applyAlignment="1">
      <alignment horizontal="center" vertical="center"/>
    </xf>
    <xf numFmtId="0" fontId="6" fillId="0" borderId="0" xfId="1" applyFont="1" applyAlignment="1">
      <alignment horizontal="center" vertical="center" wrapText="1"/>
    </xf>
    <xf numFmtId="0" fontId="49" fillId="15" borderId="0" xfId="0" applyFont="1" applyFill="1" applyAlignment="1">
      <alignment vertical="center"/>
    </xf>
    <xf numFmtId="0" fontId="7" fillId="2" borderId="14" xfId="0" applyFont="1" applyFill="1" applyBorder="1" applyAlignment="1">
      <alignment horizontal="center" vertical="center"/>
    </xf>
    <xf numFmtId="9" fontId="12" fillId="0" borderId="0" xfId="2" applyFont="1" applyAlignment="1">
      <alignment vertical="center"/>
    </xf>
    <xf numFmtId="10" fontId="7" fillId="2" borderId="29" xfId="2" applyNumberFormat="1" applyFont="1" applyFill="1" applyBorder="1" applyAlignment="1">
      <alignment vertical="center"/>
    </xf>
    <xf numFmtId="0" fontId="0" fillId="0" borderId="0" xfId="0" applyAlignment="1">
      <alignment wrapText="1"/>
    </xf>
    <xf numFmtId="0" fontId="50" fillId="0" borderId="0" xfId="0" applyFont="1"/>
    <xf numFmtId="0" fontId="51" fillId="0" borderId="0" xfId="0" applyFont="1"/>
    <xf numFmtId="0" fontId="14" fillId="0" borderId="14" xfId="0" applyFont="1" applyBorder="1" applyAlignment="1">
      <alignment horizontal="center" vertical="center" wrapText="1"/>
    </xf>
    <xf numFmtId="166" fontId="7" fillId="2" borderId="14" xfId="3" applyNumberFormat="1" applyFont="1" applyFill="1" applyBorder="1" applyAlignment="1">
      <alignment vertical="center"/>
    </xf>
    <xf numFmtId="0" fontId="10" fillId="4" borderId="4" xfId="1" applyFont="1" applyFill="1" applyBorder="1" applyAlignment="1">
      <alignment horizontal="left" vertical="center" wrapText="1"/>
    </xf>
    <xf numFmtId="0" fontId="10" fillId="4" borderId="3" xfId="1" applyFont="1" applyFill="1" applyBorder="1" applyAlignment="1">
      <alignment horizontal="left" vertical="center" wrapText="1"/>
    </xf>
    <xf numFmtId="0" fontId="10" fillId="2" borderId="12" xfId="1" applyFont="1" applyFill="1" applyBorder="1" applyAlignment="1">
      <alignment horizontal="left" vertical="center" wrapText="1"/>
    </xf>
    <xf numFmtId="14" fontId="19" fillId="2" borderId="12" xfId="1" applyNumberFormat="1" applyFont="1" applyFill="1" applyBorder="1" applyAlignment="1">
      <alignment vertical="center" wrapText="1"/>
    </xf>
    <xf numFmtId="0" fontId="10" fillId="2" borderId="3" xfId="1" applyFont="1" applyFill="1" applyBorder="1" applyAlignment="1">
      <alignment horizontal="left" vertical="center" wrapText="1"/>
    </xf>
    <xf numFmtId="0" fontId="12" fillId="0" borderId="1" xfId="0" applyFont="1" applyBorder="1" applyAlignment="1">
      <alignment horizontal="center" vertical="center"/>
    </xf>
    <xf numFmtId="0" fontId="12" fillId="0" borderId="13" xfId="0" applyFont="1" applyBorder="1" applyAlignment="1">
      <alignment horizontal="center" vertical="center"/>
    </xf>
    <xf numFmtId="0" fontId="7" fillId="0" borderId="61" xfId="0" applyFont="1" applyBorder="1" applyAlignment="1">
      <alignment vertical="center"/>
    </xf>
    <xf numFmtId="0" fontId="12" fillId="4" borderId="71" xfId="0" applyFont="1" applyFill="1" applyBorder="1" applyAlignment="1">
      <alignment horizontal="left" vertical="center" wrapText="1"/>
    </xf>
    <xf numFmtId="0" fontId="7" fillId="4" borderId="0" xfId="0" applyFont="1" applyFill="1" applyAlignment="1">
      <alignment vertical="center"/>
    </xf>
    <xf numFmtId="172" fontId="58" fillId="0" borderId="0" xfId="0" applyNumberFormat="1" applyFont="1" applyAlignment="1">
      <alignment vertical="center"/>
    </xf>
    <xf numFmtId="0" fontId="12" fillId="19" borderId="15" xfId="0" applyFont="1" applyFill="1" applyBorder="1" applyAlignment="1">
      <alignment horizontal="center" vertical="center"/>
    </xf>
    <xf numFmtId="0" fontId="12" fillId="19" borderId="16" xfId="0" applyFont="1" applyFill="1" applyBorder="1" applyAlignment="1">
      <alignment vertical="center" wrapText="1"/>
    </xf>
    <xf numFmtId="0" fontId="12" fillId="19" borderId="21" xfId="0" applyFont="1" applyFill="1" applyBorder="1" applyAlignment="1">
      <alignment horizontal="center" vertical="center"/>
    </xf>
    <xf numFmtId="0" fontId="12" fillId="19" borderId="14" xfId="0" applyFont="1" applyFill="1" applyBorder="1" applyAlignment="1">
      <alignment vertical="center" wrapText="1"/>
    </xf>
    <xf numFmtId="0" fontId="12" fillId="19" borderId="18" xfId="0" applyFont="1" applyFill="1" applyBorder="1" applyAlignment="1">
      <alignment horizontal="center" vertical="center"/>
    </xf>
    <xf numFmtId="0" fontId="59" fillId="0" borderId="0" xfId="0" applyFont="1" applyAlignment="1">
      <alignment horizontal="justify" vertical="center" wrapText="1"/>
    </xf>
    <xf numFmtId="0" fontId="12" fillId="19" borderId="54" xfId="0" applyFont="1" applyFill="1" applyBorder="1" applyAlignment="1">
      <alignment vertical="center" wrapText="1"/>
    </xf>
    <xf numFmtId="0" fontId="12" fillId="0" borderId="31" xfId="0" applyFont="1" applyBorder="1" applyAlignment="1">
      <alignment horizontal="center" vertical="center"/>
    </xf>
    <xf numFmtId="0" fontId="12" fillId="0" borderId="60" xfId="0" applyFont="1" applyBorder="1" applyAlignment="1">
      <alignment vertical="center" wrapText="1"/>
    </xf>
    <xf numFmtId="0" fontId="12" fillId="19" borderId="14" xfId="0" applyFont="1" applyFill="1" applyBorder="1" applyAlignment="1">
      <alignment horizontal="left" vertical="center" wrapText="1"/>
    </xf>
    <xf numFmtId="0" fontId="12" fillId="19" borderId="19" xfId="0" applyFont="1" applyFill="1" applyBorder="1" applyAlignment="1">
      <alignment horizontal="left" vertical="center"/>
    </xf>
    <xf numFmtId="0" fontId="62" fillId="0" borderId="4" xfId="1" applyFont="1" applyBorder="1" applyAlignment="1">
      <alignment vertical="center"/>
    </xf>
    <xf numFmtId="0" fontId="60" fillId="0" borderId="3" xfId="1" applyFont="1" applyBorder="1" applyAlignment="1">
      <alignment vertical="center" wrapText="1"/>
    </xf>
    <xf numFmtId="0" fontId="60" fillId="0" borderId="5" xfId="1" applyFont="1" applyBorder="1" applyAlignment="1">
      <alignment vertical="center" wrapText="1"/>
    </xf>
    <xf numFmtId="0" fontId="12" fillId="4" borderId="14" xfId="0" applyFont="1" applyFill="1" applyBorder="1" applyAlignment="1">
      <alignment horizontal="center" vertical="center" wrapText="1"/>
    </xf>
    <xf numFmtId="0" fontId="12" fillId="4" borderId="14" xfId="0" applyFont="1" applyFill="1" applyBorder="1" applyAlignment="1">
      <alignment vertical="center" wrapText="1"/>
    </xf>
    <xf numFmtId="164" fontId="12" fillId="0" borderId="14" xfId="3" applyFont="1" applyFill="1" applyBorder="1" applyAlignment="1">
      <alignment vertical="center" wrapText="1"/>
    </xf>
    <xf numFmtId="10" fontId="12" fillId="0" borderId="14" xfId="2" applyNumberFormat="1" applyFont="1" applyFill="1" applyBorder="1" applyAlignment="1">
      <alignment horizontal="center" vertical="center" wrapText="1"/>
    </xf>
    <xf numFmtId="164" fontId="12" fillId="0" borderId="14" xfId="3" applyFont="1" applyFill="1" applyBorder="1" applyAlignment="1">
      <alignment horizontal="center" vertical="center" wrapText="1"/>
    </xf>
    <xf numFmtId="0" fontId="42" fillId="19" borderId="57" xfId="0" applyFont="1" applyFill="1" applyBorder="1" applyAlignment="1">
      <alignment horizontal="center" vertical="center" wrapText="1"/>
    </xf>
    <xf numFmtId="0" fontId="42" fillId="19" borderId="14" xfId="0" applyFont="1" applyFill="1" applyBorder="1" applyAlignment="1">
      <alignment horizontal="center" vertical="center" wrapText="1"/>
    </xf>
    <xf numFmtId="0" fontId="42" fillId="19" borderId="29" xfId="0" applyFont="1" applyFill="1" applyBorder="1" applyAlignment="1">
      <alignment horizontal="center" vertical="center" wrapText="1"/>
    </xf>
    <xf numFmtId="0" fontId="12" fillId="0" borderId="55" xfId="0" applyFont="1" applyBorder="1" applyAlignment="1">
      <alignment vertical="center"/>
    </xf>
    <xf numFmtId="0" fontId="7" fillId="0" borderId="19" xfId="0" applyFont="1" applyBorder="1" applyAlignment="1">
      <alignment horizontal="center" vertical="center"/>
    </xf>
    <xf numFmtId="0" fontId="12" fillId="0" borderId="5" xfId="0" applyFont="1" applyBorder="1" applyAlignment="1">
      <alignment vertical="center" wrapText="1"/>
    </xf>
    <xf numFmtId="9" fontId="7" fillId="0" borderId="16" xfId="2" applyFont="1" applyFill="1" applyBorder="1" applyAlignment="1">
      <alignment horizontal="right" vertical="center"/>
    </xf>
    <xf numFmtId="166" fontId="7" fillId="0" borderId="14" xfId="3" applyNumberFormat="1" applyFont="1" applyBorder="1" applyAlignment="1">
      <alignment horizontal="right" vertical="center"/>
    </xf>
    <xf numFmtId="0" fontId="7" fillId="0" borderId="14" xfId="0" applyFont="1" applyBorder="1" applyAlignment="1">
      <alignment horizontal="right" vertical="center"/>
    </xf>
    <xf numFmtId="0" fontId="7" fillId="0" borderId="29" xfId="0" applyFont="1" applyBorder="1" applyAlignment="1">
      <alignment vertical="center"/>
    </xf>
    <xf numFmtId="173" fontId="63" fillId="0" borderId="0" xfId="0" applyNumberFormat="1" applyFont="1" applyAlignment="1">
      <alignment horizontal="center" vertical="center"/>
    </xf>
    <xf numFmtId="165" fontId="47" fillId="0" borderId="0" xfId="0" applyNumberFormat="1" applyFont="1" applyAlignment="1">
      <alignment vertical="center"/>
    </xf>
    <xf numFmtId="174" fontId="59" fillId="0" borderId="0" xfId="0" applyNumberFormat="1" applyFont="1" applyAlignment="1">
      <alignment horizontal="center" vertical="center"/>
    </xf>
    <xf numFmtId="175" fontId="64" fillId="9" borderId="0" xfId="0" applyNumberFormat="1" applyFont="1" applyFill="1" applyAlignment="1">
      <alignment vertical="center"/>
    </xf>
    <xf numFmtId="0" fontId="56" fillId="19" borderId="4" xfId="1" applyFont="1" applyFill="1" applyBorder="1" applyAlignment="1">
      <alignment vertical="center"/>
    </xf>
    <xf numFmtId="0" fontId="56" fillId="19" borderId="3" xfId="1" applyFont="1" applyFill="1" applyBorder="1" applyAlignment="1">
      <alignment vertical="center" wrapText="1"/>
    </xf>
    <xf numFmtId="0" fontId="56" fillId="19" borderId="5" xfId="1" applyFont="1" applyFill="1" applyBorder="1" applyAlignment="1">
      <alignment vertical="center" wrapText="1"/>
    </xf>
    <xf numFmtId="0" fontId="6" fillId="4" borderId="75" xfId="0" applyFont="1" applyFill="1" applyBorder="1" applyAlignment="1">
      <alignment horizontal="left" indent="5"/>
    </xf>
    <xf numFmtId="0" fontId="6" fillId="4" borderId="72" xfId="0" applyFont="1" applyFill="1" applyBorder="1"/>
    <xf numFmtId="0" fontId="6" fillId="4" borderId="72" xfId="0" applyFont="1" applyFill="1" applyBorder="1" applyAlignment="1">
      <alignment horizontal="center"/>
    </xf>
    <xf numFmtId="0" fontId="46" fillId="0" borderId="75" xfId="0" applyFont="1" applyBorder="1" applyAlignment="1">
      <alignment horizontal="left" vertical="center" indent="5"/>
    </xf>
    <xf numFmtId="0" fontId="46" fillId="0" borderId="72" xfId="0" applyFont="1" applyBorder="1" applyAlignment="1">
      <alignment horizontal="left" vertical="center"/>
    </xf>
    <xf numFmtId="172" fontId="46" fillId="0" borderId="72" xfId="0" applyNumberFormat="1" applyFont="1" applyBorder="1" applyAlignment="1">
      <alignment horizontal="center"/>
    </xf>
    <xf numFmtId="172" fontId="46" fillId="0" borderId="72" xfId="0" applyNumberFormat="1" applyFont="1" applyBorder="1" applyAlignment="1">
      <alignment horizontal="center" wrapText="1"/>
    </xf>
    <xf numFmtId="0" fontId="46" fillId="10" borderId="75" xfId="0" applyFont="1" applyFill="1" applyBorder="1" applyAlignment="1">
      <alignment horizontal="left" vertical="center" indent="5"/>
    </xf>
    <xf numFmtId="0" fontId="46" fillId="10" borderId="72" xfId="0" applyFont="1" applyFill="1" applyBorder="1" applyAlignment="1">
      <alignment horizontal="left" vertical="center"/>
    </xf>
    <xf numFmtId="172" fontId="46" fillId="10" borderId="72" xfId="0" applyNumberFormat="1" applyFont="1" applyFill="1" applyBorder="1" applyAlignment="1">
      <alignment horizontal="center"/>
    </xf>
    <xf numFmtId="0" fontId="46" fillId="10" borderId="76" xfId="0" applyFont="1" applyFill="1" applyBorder="1" applyAlignment="1">
      <alignment horizontal="left" vertical="center" indent="5"/>
    </xf>
    <xf numFmtId="0" fontId="46" fillId="10" borderId="73" xfId="0" applyFont="1" applyFill="1" applyBorder="1" applyAlignment="1">
      <alignment horizontal="left" vertical="center"/>
    </xf>
    <xf numFmtId="172" fontId="46" fillId="10" borderId="73" xfId="0" applyNumberFormat="1" applyFont="1" applyFill="1" applyBorder="1" applyAlignment="1">
      <alignment horizontal="center"/>
    </xf>
    <xf numFmtId="0" fontId="46" fillId="0" borderId="9" xfId="0" applyFont="1" applyBorder="1" applyAlignment="1">
      <alignment horizontal="left" vertical="center" indent="5"/>
    </xf>
    <xf numFmtId="0" fontId="46" fillId="0" borderId="0" xfId="0" applyFont="1" applyAlignment="1">
      <alignment horizontal="left" vertical="center"/>
    </xf>
    <xf numFmtId="172" fontId="46" fillId="0" borderId="0" xfId="0" applyNumberFormat="1" applyFont="1" applyAlignment="1">
      <alignment horizontal="center"/>
    </xf>
    <xf numFmtId="0" fontId="46" fillId="10" borderId="9" xfId="0" applyFont="1" applyFill="1" applyBorder="1" applyAlignment="1">
      <alignment horizontal="left" vertical="center" indent="5"/>
    </xf>
    <xf numFmtId="0" fontId="46" fillId="10" borderId="0" xfId="0" applyFont="1" applyFill="1" applyAlignment="1">
      <alignment horizontal="left" vertical="center"/>
    </xf>
    <xf numFmtId="172" fontId="46" fillId="10" borderId="0" xfId="0" applyNumberFormat="1" applyFont="1" applyFill="1" applyAlignment="1">
      <alignment horizontal="center"/>
    </xf>
    <xf numFmtId="0" fontId="46" fillId="0" borderId="77" xfId="0" applyFont="1" applyBorder="1" applyAlignment="1">
      <alignment horizontal="left" vertical="center" indent="5"/>
    </xf>
    <xf numFmtId="0" fontId="46" fillId="0" borderId="74" xfId="0" applyFont="1" applyBorder="1" applyAlignment="1">
      <alignment horizontal="left" vertical="center"/>
    </xf>
    <xf numFmtId="172" fontId="46" fillId="0" borderId="74" xfId="0" applyNumberFormat="1" applyFont="1" applyBorder="1" applyAlignment="1">
      <alignment horizontal="center"/>
    </xf>
    <xf numFmtId="0" fontId="65" fillId="4" borderId="0" xfId="0" applyFont="1" applyFill="1" applyAlignment="1">
      <alignment vertical="center"/>
    </xf>
    <xf numFmtId="0" fontId="12" fillId="0" borderId="3" xfId="0" applyFont="1" applyBorder="1" applyAlignment="1">
      <alignment horizontal="center" vertical="center"/>
    </xf>
    <xf numFmtId="0" fontId="59" fillId="0" borderId="0" xfId="0" applyFont="1" applyAlignment="1">
      <alignment vertical="center" wrapText="1"/>
    </xf>
    <xf numFmtId="9" fontId="46" fillId="0" borderId="72" xfId="2" applyFont="1" applyBorder="1" applyAlignment="1">
      <alignment horizontal="center" wrapText="1"/>
    </xf>
    <xf numFmtId="9" fontId="46" fillId="10" borderId="72" xfId="2" applyFont="1" applyFill="1" applyBorder="1" applyAlignment="1">
      <alignment horizontal="center"/>
    </xf>
    <xf numFmtId="9" fontId="46" fillId="0" borderId="72" xfId="2" applyFont="1" applyBorder="1" applyAlignment="1">
      <alignment horizontal="center"/>
    </xf>
    <xf numFmtId="9" fontId="46" fillId="10" borderId="73" xfId="2" applyFont="1" applyFill="1" applyBorder="1" applyAlignment="1">
      <alignment horizontal="center"/>
    </xf>
    <xf numFmtId="9" fontId="46" fillId="0" borderId="0" xfId="2" applyFont="1" applyBorder="1" applyAlignment="1">
      <alignment horizontal="center"/>
    </xf>
    <xf numFmtId="9" fontId="46" fillId="10" borderId="0" xfId="2" applyFont="1" applyFill="1" applyBorder="1" applyAlignment="1">
      <alignment horizontal="center"/>
    </xf>
    <xf numFmtId="9" fontId="46" fillId="0" borderId="74" xfId="2" applyFont="1" applyBorder="1" applyAlignment="1">
      <alignment horizontal="center"/>
    </xf>
    <xf numFmtId="0" fontId="71" fillId="0" borderId="0" xfId="0" applyFont="1" applyAlignment="1">
      <alignment vertical="center"/>
    </xf>
    <xf numFmtId="0" fontId="71" fillId="4" borderId="0" xfId="7" applyFont="1" applyFill="1" applyAlignment="1">
      <alignment vertical="center"/>
    </xf>
    <xf numFmtId="0" fontId="72" fillId="0" borderId="0" xfId="0" applyFont="1" applyAlignment="1">
      <alignment vertical="center"/>
    </xf>
    <xf numFmtId="0" fontId="74" fillId="23" borderId="87" xfId="0" applyFont="1" applyFill="1" applyBorder="1" applyAlignment="1">
      <alignment horizontal="center" vertical="center"/>
    </xf>
    <xf numFmtId="0" fontId="74" fillId="9" borderId="88" xfId="0" applyFont="1" applyFill="1" applyBorder="1" applyAlignment="1">
      <alignment horizontal="center" vertical="center"/>
    </xf>
    <xf numFmtId="0" fontId="74" fillId="15" borderId="88" xfId="0" applyFont="1" applyFill="1" applyBorder="1" applyAlignment="1">
      <alignment horizontal="center" vertical="center"/>
    </xf>
    <xf numFmtId="0" fontId="75" fillId="24" borderId="88" xfId="0" applyFont="1" applyFill="1" applyBorder="1" applyAlignment="1">
      <alignment horizontal="center"/>
    </xf>
    <xf numFmtId="0" fontId="74" fillId="25" borderId="89" xfId="0" applyFont="1" applyFill="1" applyBorder="1" applyAlignment="1">
      <alignment horizontal="center" vertical="center"/>
    </xf>
    <xf numFmtId="0" fontId="74" fillId="26" borderId="91" xfId="0" applyFont="1" applyFill="1" applyBorder="1" applyAlignment="1">
      <alignment horizontal="center" vertical="center"/>
    </xf>
    <xf numFmtId="172" fontId="72" fillId="26" borderId="94" xfId="0" applyNumberFormat="1" applyFont="1" applyFill="1" applyBorder="1" applyAlignment="1">
      <alignment horizontal="center" vertical="center"/>
    </xf>
    <xf numFmtId="172" fontId="72" fillId="26" borderId="92" xfId="0" applyNumberFormat="1" applyFont="1" applyFill="1" applyBorder="1" applyAlignment="1">
      <alignment horizontal="center" vertical="center"/>
    </xf>
    <xf numFmtId="172" fontId="72" fillId="26" borderId="95" xfId="0" applyNumberFormat="1" applyFont="1" applyFill="1" applyBorder="1" applyAlignment="1">
      <alignment horizontal="center" vertical="center"/>
    </xf>
    <xf numFmtId="172" fontId="74" fillId="26" borderId="96" xfId="0" applyNumberFormat="1" applyFont="1" applyFill="1" applyBorder="1" applyAlignment="1">
      <alignment horizontal="center" vertical="center"/>
    </xf>
    <xf numFmtId="0" fontId="74" fillId="0" borderId="97" xfId="0" applyFont="1" applyBorder="1" applyAlignment="1">
      <alignment horizontal="center" vertical="center"/>
    </xf>
    <xf numFmtId="172" fontId="72" fillId="0" borderId="100" xfId="0" applyNumberFormat="1" applyFont="1" applyBorder="1" applyAlignment="1">
      <alignment horizontal="center" vertical="center"/>
    </xf>
    <xf numFmtId="172" fontId="72" fillId="0" borderId="101" xfId="0" applyNumberFormat="1" applyFont="1" applyBorder="1" applyAlignment="1">
      <alignment horizontal="center" vertical="center"/>
    </xf>
    <xf numFmtId="0" fontId="74" fillId="26" borderId="97" xfId="0" applyFont="1" applyFill="1" applyBorder="1" applyAlignment="1">
      <alignment horizontal="center" vertical="center"/>
    </xf>
    <xf numFmtId="172" fontId="72" fillId="26" borderId="100" xfId="0" applyNumberFormat="1" applyFont="1" applyFill="1" applyBorder="1" applyAlignment="1">
      <alignment horizontal="center" vertical="center"/>
    </xf>
    <xf numFmtId="172" fontId="72" fillId="26" borderId="98" xfId="0" applyNumberFormat="1" applyFont="1" applyFill="1" applyBorder="1" applyAlignment="1">
      <alignment horizontal="center" vertical="center"/>
    </xf>
    <xf numFmtId="172" fontId="72" fillId="26" borderId="104" xfId="0" applyNumberFormat="1" applyFont="1" applyFill="1" applyBorder="1" applyAlignment="1">
      <alignment horizontal="center" vertical="center"/>
    </xf>
    <xf numFmtId="172" fontId="74" fillId="26" borderId="101" xfId="0" applyNumberFormat="1" applyFont="1" applyFill="1" applyBorder="1" applyAlignment="1">
      <alignment horizontal="center" vertical="center"/>
    </xf>
    <xf numFmtId="0" fontId="74" fillId="8" borderId="97" xfId="0" applyFont="1" applyFill="1" applyBorder="1" applyAlignment="1">
      <alignment horizontal="center" vertical="center"/>
    </xf>
    <xf numFmtId="172" fontId="72" fillId="8" borderId="100" xfId="0" applyNumberFormat="1" applyFont="1" applyFill="1" applyBorder="1" applyAlignment="1">
      <alignment horizontal="center" vertical="center"/>
    </xf>
    <xf numFmtId="172" fontId="72" fillId="8" borderId="98" xfId="0" applyNumberFormat="1" applyFont="1" applyFill="1" applyBorder="1" applyAlignment="1">
      <alignment horizontal="center" vertical="center"/>
    </xf>
    <xf numFmtId="172" fontId="72" fillId="8" borderId="104" xfId="0" applyNumberFormat="1" applyFont="1" applyFill="1" applyBorder="1" applyAlignment="1">
      <alignment horizontal="center" vertical="center"/>
    </xf>
    <xf numFmtId="172" fontId="74" fillId="8" borderId="101" xfId="0" applyNumberFormat="1" applyFont="1" applyFill="1" applyBorder="1" applyAlignment="1">
      <alignment horizontal="center" vertical="center"/>
    </xf>
    <xf numFmtId="0" fontId="74" fillId="0" borderId="97" xfId="0" applyFont="1" applyBorder="1" applyAlignment="1" applyProtection="1">
      <alignment horizontal="center" vertical="center"/>
      <protection locked="0"/>
    </xf>
    <xf numFmtId="0" fontId="74" fillId="0" borderId="105" xfId="0" applyFont="1" applyBorder="1" applyAlignment="1">
      <alignment horizontal="center" vertical="center"/>
    </xf>
    <xf numFmtId="172" fontId="72" fillId="0" borderId="98" xfId="0" applyNumberFormat="1" applyFont="1" applyBorder="1" applyAlignment="1">
      <alignment horizontal="center" vertical="center"/>
    </xf>
    <xf numFmtId="172" fontId="72" fillId="0" borderId="104" xfId="0" applyNumberFormat="1" applyFont="1" applyBorder="1" applyAlignment="1">
      <alignment horizontal="center" vertical="center"/>
    </xf>
    <xf numFmtId="0" fontId="74" fillId="0" borderId="0" xfId="0" applyFont="1" applyAlignment="1">
      <alignment horizontal="center" vertical="center"/>
    </xf>
    <xf numFmtId="172" fontId="72" fillId="0" borderId="106" xfId="0" applyNumberFormat="1" applyFont="1" applyBorder="1" applyAlignment="1">
      <alignment horizontal="center" vertical="center"/>
    </xf>
    <xf numFmtId="172" fontId="72" fillId="0" borderId="107" xfId="0" applyNumberFormat="1" applyFont="1" applyBorder="1" applyAlignment="1">
      <alignment horizontal="center" vertical="center"/>
    </xf>
    <xf numFmtId="172" fontId="72" fillId="0" borderId="108" xfId="0" applyNumberFormat="1" applyFont="1" applyBorder="1" applyAlignment="1">
      <alignment horizontal="center" vertical="center"/>
    </xf>
    <xf numFmtId="0" fontId="74" fillId="0" borderId="109" xfId="0" applyFont="1" applyBorder="1" applyAlignment="1">
      <alignment horizontal="center" vertical="center"/>
    </xf>
    <xf numFmtId="172" fontId="72" fillId="0" borderId="112" xfId="0" applyNumberFormat="1" applyFont="1" applyBorder="1" applyAlignment="1">
      <alignment horizontal="center" vertical="center"/>
    </xf>
    <xf numFmtId="172" fontId="72" fillId="0" borderId="110" xfId="0" applyNumberFormat="1" applyFont="1" applyBorder="1" applyAlignment="1">
      <alignment horizontal="center" vertical="center"/>
    </xf>
    <xf numFmtId="172" fontId="72" fillId="0" borderId="113" xfId="0" applyNumberFormat="1" applyFont="1" applyBorder="1" applyAlignment="1">
      <alignment horizontal="center" vertical="center"/>
    </xf>
    <xf numFmtId="172" fontId="72" fillId="26" borderId="91" xfId="0" applyNumberFormat="1" applyFont="1" applyFill="1" applyBorder="1" applyAlignment="1">
      <alignment horizontal="center" vertical="center"/>
    </xf>
    <xf numFmtId="172" fontId="72" fillId="26" borderId="114" xfId="0" applyNumberFormat="1" applyFont="1" applyFill="1" applyBorder="1" applyAlignment="1">
      <alignment horizontal="center" vertical="center"/>
    </xf>
    <xf numFmtId="172" fontId="72" fillId="0" borderId="97" xfId="0" applyNumberFormat="1" applyFont="1" applyBorder="1" applyAlignment="1">
      <alignment horizontal="center" vertical="center"/>
    </xf>
    <xf numFmtId="172" fontId="72" fillId="0" borderId="115" xfId="0" applyNumberFormat="1" applyFont="1" applyBorder="1" applyAlignment="1">
      <alignment horizontal="center" vertical="center"/>
    </xf>
    <xf numFmtId="0" fontId="72" fillId="0" borderId="0" xfId="0" applyFont="1"/>
    <xf numFmtId="172" fontId="72" fillId="0" borderId="109" xfId="0" applyNumberFormat="1" applyFont="1" applyBorder="1" applyAlignment="1">
      <alignment horizontal="center" vertical="center"/>
    </xf>
    <xf numFmtId="172" fontId="72" fillId="0" borderId="116" xfId="0" applyNumberFormat="1" applyFont="1" applyBorder="1" applyAlignment="1">
      <alignment horizontal="center" vertical="center"/>
    </xf>
    <xf numFmtId="0" fontId="74" fillId="26" borderId="105" xfId="0" applyFont="1" applyFill="1" applyBorder="1" applyAlignment="1">
      <alignment horizontal="center" vertical="center"/>
    </xf>
    <xf numFmtId="172" fontId="72" fillId="26" borderId="105" xfId="0" applyNumberFormat="1" applyFont="1" applyFill="1" applyBorder="1" applyAlignment="1">
      <alignment horizontal="center" vertical="center"/>
    </xf>
    <xf numFmtId="172" fontId="72" fillId="26" borderId="107" xfId="0" applyNumberFormat="1" applyFont="1" applyFill="1" applyBorder="1" applyAlignment="1">
      <alignment horizontal="center" vertical="center"/>
    </xf>
    <xf numFmtId="172" fontId="72" fillId="26" borderId="117" xfId="0" applyNumberFormat="1" applyFont="1" applyFill="1" applyBorder="1" applyAlignment="1">
      <alignment horizontal="center" vertical="center"/>
    </xf>
    <xf numFmtId="172" fontId="74" fillId="26" borderId="118" xfId="0" applyNumberFormat="1" applyFont="1" applyFill="1" applyBorder="1" applyAlignment="1">
      <alignment horizontal="center" vertical="center"/>
    </xf>
    <xf numFmtId="172" fontId="72" fillId="26" borderId="97" xfId="0" applyNumberFormat="1" applyFont="1" applyFill="1" applyBorder="1" applyAlignment="1">
      <alignment horizontal="center" vertical="center"/>
    </xf>
    <xf numFmtId="172" fontId="72" fillId="26" borderId="115" xfId="0" applyNumberFormat="1" applyFont="1" applyFill="1" applyBorder="1" applyAlignment="1">
      <alignment horizontal="center" vertical="center"/>
    </xf>
    <xf numFmtId="0" fontId="74" fillId="0" borderId="119" xfId="0" applyFont="1" applyBorder="1" applyAlignment="1">
      <alignment horizontal="center" vertical="center"/>
    </xf>
    <xf numFmtId="0" fontId="74" fillId="0" borderId="120" xfId="0" applyFont="1" applyBorder="1" applyAlignment="1">
      <alignment horizontal="center" vertical="center"/>
    </xf>
    <xf numFmtId="0" fontId="74" fillId="0" borderId="121" xfId="0" applyFont="1" applyBorder="1" applyAlignment="1">
      <alignment horizontal="center" vertical="center"/>
    </xf>
    <xf numFmtId="172" fontId="72" fillId="0" borderId="121" xfId="0" applyNumberFormat="1" applyFont="1" applyBorder="1" applyAlignment="1">
      <alignment horizontal="center" vertical="center"/>
    </xf>
    <xf numFmtId="172" fontId="72" fillId="0" borderId="122" xfId="0" applyNumberFormat="1" applyFont="1" applyBorder="1" applyAlignment="1">
      <alignment horizontal="center" vertical="center"/>
    </xf>
    <xf numFmtId="172" fontId="72" fillId="0" borderId="123" xfId="0" applyNumberFormat="1" applyFont="1" applyBorder="1" applyAlignment="1">
      <alignment horizontal="center" vertical="center"/>
    </xf>
    <xf numFmtId="0" fontId="74" fillId="26" borderId="91" xfId="0" applyFont="1" applyFill="1" applyBorder="1" applyAlignment="1">
      <alignment horizontal="center"/>
    </xf>
    <xf numFmtId="172" fontId="72" fillId="26" borderId="92" xfId="0" applyNumberFormat="1" applyFont="1" applyFill="1" applyBorder="1" applyAlignment="1">
      <alignment horizontal="center"/>
    </xf>
    <xf numFmtId="172" fontId="74" fillId="26" borderId="114" xfId="0" applyNumberFormat="1" applyFont="1" applyFill="1" applyBorder="1" applyAlignment="1">
      <alignment horizontal="center"/>
    </xf>
    <xf numFmtId="172" fontId="72" fillId="0" borderId="98" xfId="0" applyNumberFormat="1" applyFont="1" applyBorder="1" applyAlignment="1">
      <alignment horizontal="center"/>
    </xf>
    <xf numFmtId="172" fontId="72" fillId="0" borderId="115" xfId="0" applyNumberFormat="1" applyFont="1" applyBorder="1" applyAlignment="1">
      <alignment horizontal="center"/>
    </xf>
    <xf numFmtId="0" fontId="74" fillId="0" borderId="97" xfId="0" applyFont="1" applyBorder="1" applyAlignment="1">
      <alignment horizontal="center"/>
    </xf>
    <xf numFmtId="172" fontId="72" fillId="26" borderId="98" xfId="0" applyNumberFormat="1" applyFont="1" applyFill="1" applyBorder="1" applyAlignment="1">
      <alignment horizontal="center"/>
    </xf>
    <xf numFmtId="172" fontId="74" fillId="26" borderId="115" xfId="0" applyNumberFormat="1" applyFont="1" applyFill="1" applyBorder="1" applyAlignment="1">
      <alignment horizontal="center"/>
    </xf>
    <xf numFmtId="172" fontId="72" fillId="0" borderId="122" xfId="0" applyNumberFormat="1" applyFont="1" applyBorder="1" applyAlignment="1">
      <alignment horizontal="center"/>
    </xf>
    <xf numFmtId="172" fontId="72" fillId="0" borderId="110" xfId="0" applyNumberFormat="1" applyFont="1" applyBorder="1" applyAlignment="1">
      <alignment horizontal="center"/>
    </xf>
    <xf numFmtId="0" fontId="74" fillId="0" borderId="0" xfId="0" applyFont="1" applyAlignment="1">
      <alignment horizontal="center"/>
    </xf>
    <xf numFmtId="0" fontId="74" fillId="4" borderId="124" xfId="0" applyFont="1" applyFill="1" applyBorder="1" applyAlignment="1">
      <alignment horizontal="center"/>
    </xf>
    <xf numFmtId="0" fontId="72" fillId="4" borderId="127" xfId="0" applyFont="1" applyFill="1" applyBorder="1" applyAlignment="1">
      <alignment horizontal="center"/>
    </xf>
    <xf numFmtId="0" fontId="72" fillId="4" borderId="128" xfId="0" applyFont="1" applyFill="1" applyBorder="1" applyAlignment="1">
      <alignment horizontal="center"/>
    </xf>
    <xf numFmtId="0" fontId="74" fillId="0" borderId="126" xfId="0" applyFont="1" applyBorder="1" applyAlignment="1">
      <alignment horizontal="center"/>
    </xf>
    <xf numFmtId="172" fontId="72" fillId="0" borderId="129" xfId="0" applyNumberFormat="1" applyFont="1" applyBorder="1" applyAlignment="1">
      <alignment horizontal="center"/>
    </xf>
    <xf numFmtId="9" fontId="72" fillId="0" borderId="125" xfId="2" applyFont="1" applyBorder="1" applyAlignment="1">
      <alignment horizontal="center"/>
    </xf>
    <xf numFmtId="0" fontId="74" fillId="10" borderId="126" xfId="0" applyFont="1" applyFill="1" applyBorder="1" applyAlignment="1">
      <alignment horizontal="center"/>
    </xf>
    <xf numFmtId="172" fontId="72" fillId="10" borderId="129" xfId="0" applyNumberFormat="1" applyFont="1" applyFill="1" applyBorder="1" applyAlignment="1">
      <alignment horizontal="center"/>
    </xf>
    <xf numFmtId="9" fontId="72" fillId="10" borderId="125" xfId="2" applyFont="1" applyFill="1" applyBorder="1" applyAlignment="1">
      <alignment horizontal="center"/>
    </xf>
    <xf numFmtId="0" fontId="74" fillId="0" borderId="124" xfId="0" applyFont="1" applyBorder="1" applyAlignment="1">
      <alignment horizontal="center"/>
    </xf>
    <xf numFmtId="172" fontId="72" fillId="0" borderId="127" xfId="0" applyNumberFormat="1" applyFont="1" applyBorder="1" applyAlignment="1">
      <alignment horizontal="center"/>
    </xf>
    <xf numFmtId="9" fontId="72" fillId="0" borderId="128" xfId="2" applyFont="1" applyBorder="1" applyAlignment="1">
      <alignment horizontal="center"/>
    </xf>
    <xf numFmtId="0" fontId="72" fillId="4" borderId="0" xfId="0" applyFont="1" applyFill="1" applyAlignment="1">
      <alignment vertical="center"/>
    </xf>
    <xf numFmtId="0" fontId="74" fillId="26" borderId="132" xfId="0" applyFont="1" applyFill="1" applyBorder="1" applyAlignment="1">
      <alignment horizontal="center" vertical="center"/>
    </xf>
    <xf numFmtId="0" fontId="74" fillId="26" borderId="133" xfId="0" applyFont="1" applyFill="1" applyBorder="1" applyAlignment="1">
      <alignment horizontal="center" vertical="center"/>
    </xf>
    <xf numFmtId="0" fontId="74" fillId="26" borderId="41" xfId="0" applyFont="1" applyFill="1" applyBorder="1" applyAlignment="1">
      <alignment horizontal="center" vertical="center"/>
    </xf>
    <xf numFmtId="0" fontId="74" fillId="27" borderId="132" xfId="0" applyFont="1" applyFill="1" applyBorder="1" applyAlignment="1">
      <alignment horizontal="center" vertical="center"/>
    </xf>
    <xf numFmtId="0" fontId="74" fillId="27" borderId="134" xfId="0" applyFont="1" applyFill="1" applyBorder="1" applyAlignment="1">
      <alignment horizontal="center" vertical="center"/>
    </xf>
    <xf numFmtId="0" fontId="74" fillId="27" borderId="135" xfId="0" applyFont="1" applyFill="1" applyBorder="1" applyAlignment="1">
      <alignment vertical="center"/>
    </xf>
    <xf numFmtId="172" fontId="72" fillId="26" borderId="93" xfId="0" applyNumberFormat="1" applyFont="1" applyFill="1" applyBorder="1" applyAlignment="1">
      <alignment horizontal="center" vertical="center"/>
    </xf>
    <xf numFmtId="172" fontId="74" fillId="26" borderId="91" xfId="0" applyNumberFormat="1" applyFont="1" applyFill="1" applyBorder="1" applyAlignment="1">
      <alignment horizontal="center" vertical="center"/>
    </xf>
    <xf numFmtId="172" fontId="74" fillId="26" borderId="92" xfId="0" applyNumberFormat="1" applyFont="1" applyFill="1" applyBorder="1" applyAlignment="1">
      <alignment horizontal="center" vertical="center"/>
    </xf>
    <xf numFmtId="172" fontId="74" fillId="26" borderId="114" xfId="0" applyNumberFormat="1" applyFont="1" applyFill="1" applyBorder="1" applyAlignment="1">
      <alignment horizontal="center" vertical="center"/>
    </xf>
    <xf numFmtId="172" fontId="72" fillId="0" borderId="99" xfId="0" applyNumberFormat="1" applyFont="1" applyBorder="1" applyAlignment="1">
      <alignment horizontal="center" vertical="center"/>
    </xf>
    <xf numFmtId="172" fontId="74" fillId="26" borderId="97" xfId="0" applyNumberFormat="1" applyFont="1" applyFill="1" applyBorder="1" applyAlignment="1">
      <alignment horizontal="center" vertical="center"/>
    </xf>
    <xf numFmtId="172" fontId="74" fillId="26" borderId="98" xfId="0" applyNumberFormat="1" applyFont="1" applyFill="1" applyBorder="1" applyAlignment="1">
      <alignment horizontal="center" vertical="center"/>
    </xf>
    <xf numFmtId="172" fontId="74" fillId="26" borderId="99" xfId="0" applyNumberFormat="1" applyFont="1" applyFill="1" applyBorder="1" applyAlignment="1">
      <alignment horizontal="center" vertical="center"/>
    </xf>
    <xf numFmtId="172" fontId="74" fillId="26" borderId="115" xfId="0" applyNumberFormat="1" applyFont="1" applyFill="1" applyBorder="1" applyAlignment="1">
      <alignment horizontal="center" vertical="center"/>
    </xf>
    <xf numFmtId="172" fontId="72" fillId="8" borderId="97" xfId="0" applyNumberFormat="1" applyFont="1" applyFill="1" applyBorder="1" applyAlignment="1">
      <alignment horizontal="center" vertical="center"/>
    </xf>
    <xf numFmtId="172" fontId="72" fillId="8" borderId="99" xfId="0" applyNumberFormat="1" applyFont="1" applyFill="1" applyBorder="1" applyAlignment="1">
      <alignment horizontal="center" vertical="center"/>
    </xf>
    <xf numFmtId="172" fontId="74" fillId="8" borderId="97" xfId="0" applyNumberFormat="1" applyFont="1" applyFill="1" applyBorder="1" applyAlignment="1">
      <alignment horizontal="center" vertical="center"/>
    </xf>
    <xf numFmtId="172" fontId="74" fillId="8" borderId="98" xfId="0" applyNumberFormat="1" applyFont="1" applyFill="1" applyBorder="1" applyAlignment="1">
      <alignment horizontal="center" vertical="center"/>
    </xf>
    <xf numFmtId="172" fontId="74" fillId="8" borderId="115" xfId="0" applyNumberFormat="1" applyFont="1" applyFill="1" applyBorder="1" applyAlignment="1">
      <alignment horizontal="center" vertical="center"/>
    </xf>
    <xf numFmtId="172" fontId="72" fillId="0" borderId="105" xfId="0" applyNumberFormat="1" applyFont="1" applyBorder="1" applyAlignment="1">
      <alignment horizontal="center" vertical="center"/>
    </xf>
    <xf numFmtId="172" fontId="72" fillId="0" borderId="136" xfId="0" applyNumberFormat="1" applyFont="1" applyBorder="1" applyAlignment="1">
      <alignment horizontal="center" vertical="center"/>
    </xf>
    <xf numFmtId="172" fontId="72" fillId="0" borderId="117" xfId="0" applyNumberFormat="1" applyFont="1" applyBorder="1" applyAlignment="1">
      <alignment horizontal="center" vertical="center"/>
    </xf>
    <xf numFmtId="172" fontId="72" fillId="0" borderId="111" xfId="0" applyNumberFormat="1" applyFont="1" applyBorder="1" applyAlignment="1">
      <alignment horizontal="center" vertical="center"/>
    </xf>
    <xf numFmtId="172" fontId="72" fillId="26" borderId="106" xfId="0" applyNumberFormat="1" applyFont="1" applyFill="1" applyBorder="1" applyAlignment="1">
      <alignment horizontal="center" vertical="center"/>
    </xf>
    <xf numFmtId="172" fontId="74" fillId="26" borderId="105" xfId="0" applyNumberFormat="1" applyFont="1" applyFill="1" applyBorder="1" applyAlignment="1">
      <alignment horizontal="center" vertical="center"/>
    </xf>
    <xf numFmtId="172" fontId="74" fillId="26" borderId="107" xfId="0" applyNumberFormat="1" applyFont="1" applyFill="1" applyBorder="1" applyAlignment="1">
      <alignment horizontal="center" vertical="center"/>
    </xf>
    <xf numFmtId="172" fontId="74" fillId="26" borderId="117" xfId="0" applyNumberFormat="1" applyFont="1" applyFill="1" applyBorder="1" applyAlignment="1">
      <alignment horizontal="center" vertical="center"/>
    </xf>
    <xf numFmtId="172" fontId="74" fillId="26" borderId="100" xfId="0" applyNumberFormat="1" applyFont="1" applyFill="1" applyBorder="1" applyAlignment="1">
      <alignment horizontal="center" vertical="center"/>
    </xf>
    <xf numFmtId="172" fontId="72" fillId="0" borderId="142" xfId="0" applyNumberFormat="1" applyFont="1" applyBorder="1" applyAlignment="1">
      <alignment horizontal="center" vertical="center"/>
    </xf>
    <xf numFmtId="172" fontId="72" fillId="0" borderId="143" xfId="0" applyNumberFormat="1" applyFont="1" applyBorder="1" applyAlignment="1">
      <alignment horizontal="center" vertical="center"/>
    </xf>
    <xf numFmtId="172" fontId="72" fillId="0" borderId="144" xfId="0" applyNumberFormat="1" applyFont="1" applyBorder="1" applyAlignment="1">
      <alignment horizontal="center" vertical="center"/>
    </xf>
    <xf numFmtId="172" fontId="72" fillId="0" borderId="145" xfId="0" applyNumberFormat="1" applyFont="1" applyBorder="1" applyAlignment="1">
      <alignment horizontal="center" vertical="center"/>
    </xf>
    <xf numFmtId="172" fontId="72" fillId="26" borderId="91" xfId="0" applyNumberFormat="1" applyFont="1" applyFill="1" applyBorder="1" applyAlignment="1">
      <alignment horizontal="center"/>
    </xf>
    <xf numFmtId="172" fontId="72" fillId="26" borderId="93" xfId="0" applyNumberFormat="1" applyFont="1" applyFill="1" applyBorder="1" applyAlignment="1">
      <alignment horizontal="center"/>
    </xf>
    <xf numFmtId="172" fontId="74" fillId="26" borderId="91" xfId="0" applyNumberFormat="1" applyFont="1" applyFill="1" applyBorder="1" applyAlignment="1">
      <alignment horizontal="center"/>
    </xf>
    <xf numFmtId="172" fontId="74" fillId="26" borderId="92" xfId="0" applyNumberFormat="1" applyFont="1" applyFill="1" applyBorder="1" applyAlignment="1">
      <alignment horizontal="center"/>
    </xf>
    <xf numFmtId="172" fontId="72" fillId="0" borderId="97" xfId="0" applyNumberFormat="1" applyFont="1" applyBorder="1" applyAlignment="1">
      <alignment horizontal="center"/>
    </xf>
    <xf numFmtId="172" fontId="72" fillId="0" borderId="99" xfId="0" applyNumberFormat="1" applyFont="1" applyBorder="1" applyAlignment="1">
      <alignment horizontal="center"/>
    </xf>
    <xf numFmtId="0" fontId="74" fillId="0" borderId="146" xfId="0" applyFont="1" applyBorder="1" applyAlignment="1">
      <alignment horizontal="center" vertical="center"/>
    </xf>
    <xf numFmtId="172" fontId="72" fillId="0" borderId="146" xfId="0" applyNumberFormat="1" applyFont="1" applyBorder="1" applyAlignment="1">
      <alignment horizontal="center"/>
    </xf>
    <xf numFmtId="172" fontId="72" fillId="0" borderId="125" xfId="0" applyNumberFormat="1" applyFont="1" applyBorder="1" applyAlignment="1">
      <alignment horizontal="center"/>
    </xf>
    <xf numFmtId="172" fontId="72" fillId="0" borderId="147" xfId="0" applyNumberFormat="1" applyFont="1" applyBorder="1" applyAlignment="1">
      <alignment horizontal="center"/>
    </xf>
    <xf numFmtId="172" fontId="72" fillId="0" borderId="105" xfId="0" applyNumberFormat="1" applyFont="1" applyBorder="1" applyAlignment="1">
      <alignment horizontal="center"/>
    </xf>
    <xf numFmtId="172" fontId="72" fillId="0" borderId="107" xfId="0" applyNumberFormat="1" applyFont="1" applyBorder="1" applyAlignment="1">
      <alignment horizontal="center"/>
    </xf>
    <xf numFmtId="172" fontId="72" fillId="0" borderId="136" xfId="0" applyNumberFormat="1" applyFont="1" applyBorder="1" applyAlignment="1">
      <alignment horizontal="center"/>
    </xf>
    <xf numFmtId="172" fontId="72" fillId="0" borderId="117" xfId="0" applyNumberFormat="1" applyFont="1" applyBorder="1" applyAlignment="1">
      <alignment horizontal="center"/>
    </xf>
    <xf numFmtId="172" fontId="72" fillId="26" borderId="97" xfId="0" applyNumberFormat="1" applyFont="1" applyFill="1" applyBorder="1" applyAlignment="1">
      <alignment horizontal="center"/>
    </xf>
    <xf numFmtId="172" fontId="72" fillId="26" borderId="99" xfId="0" applyNumberFormat="1" applyFont="1" applyFill="1" applyBorder="1" applyAlignment="1">
      <alignment horizontal="center"/>
    </xf>
    <xf numFmtId="172" fontId="74" fillId="26" borderId="97" xfId="0" applyNumberFormat="1" applyFont="1" applyFill="1" applyBorder="1" applyAlignment="1">
      <alignment horizontal="center"/>
    </xf>
    <xf numFmtId="172" fontId="74" fillId="26" borderId="98" xfId="0" applyNumberFormat="1" applyFont="1" applyFill="1" applyBorder="1" applyAlignment="1">
      <alignment horizontal="center"/>
    </xf>
    <xf numFmtId="172" fontId="72" fillId="0" borderId="121" xfId="0" applyNumberFormat="1" applyFont="1" applyBorder="1" applyAlignment="1">
      <alignment horizontal="center"/>
    </xf>
    <xf numFmtId="172" fontId="72" fillId="0" borderId="148" xfId="0" applyNumberFormat="1" applyFont="1" applyBorder="1" applyAlignment="1">
      <alignment horizontal="center"/>
    </xf>
    <xf numFmtId="172" fontId="72" fillId="0" borderId="123" xfId="0" applyNumberFormat="1" applyFont="1" applyBorder="1" applyAlignment="1">
      <alignment horizontal="center"/>
    </xf>
    <xf numFmtId="172" fontId="72" fillId="0" borderId="109" xfId="0" applyNumberFormat="1" applyFont="1" applyBorder="1" applyAlignment="1">
      <alignment horizontal="center"/>
    </xf>
    <xf numFmtId="172" fontId="72" fillId="0" borderId="111" xfId="0" applyNumberFormat="1" applyFont="1" applyBorder="1" applyAlignment="1">
      <alignment horizontal="center"/>
    </xf>
    <xf numFmtId="172" fontId="72" fillId="0" borderId="116" xfId="0" applyNumberFormat="1" applyFont="1" applyBorder="1" applyAlignment="1">
      <alignment horizontal="center"/>
    </xf>
    <xf numFmtId="172" fontId="74" fillId="4" borderId="149" xfId="0" applyNumberFormat="1" applyFont="1" applyFill="1" applyBorder="1" applyAlignment="1">
      <alignment horizontal="center"/>
    </xf>
    <xf numFmtId="172" fontId="72" fillId="0" borderId="126" xfId="0" applyNumberFormat="1" applyFont="1" applyBorder="1" applyAlignment="1">
      <alignment horizontal="center"/>
    </xf>
    <xf numFmtId="172" fontId="72" fillId="0" borderId="129" xfId="2" applyNumberFormat="1" applyFont="1" applyBorder="1" applyAlignment="1">
      <alignment horizontal="center"/>
    </xf>
    <xf numFmtId="172" fontId="72" fillId="0" borderId="0" xfId="0" applyNumberFormat="1" applyFont="1" applyAlignment="1">
      <alignment horizontal="center"/>
    </xf>
    <xf numFmtId="172" fontId="72" fillId="10" borderId="126" xfId="0" applyNumberFormat="1" applyFont="1" applyFill="1" applyBorder="1" applyAlignment="1">
      <alignment horizontal="center"/>
    </xf>
    <xf numFmtId="172" fontId="72" fillId="10" borderId="129" xfId="2" applyNumberFormat="1" applyFont="1" applyFill="1" applyBorder="1" applyAlignment="1">
      <alignment horizontal="center"/>
    </xf>
    <xf numFmtId="172" fontId="72" fillId="10" borderId="0" xfId="0" applyNumberFormat="1" applyFont="1" applyFill="1" applyAlignment="1">
      <alignment horizontal="center"/>
    </xf>
    <xf numFmtId="172" fontId="72" fillId="0" borderId="124" xfId="0" applyNumberFormat="1" applyFont="1" applyBorder="1" applyAlignment="1">
      <alignment horizontal="center"/>
    </xf>
    <xf numFmtId="172" fontId="72" fillId="0" borderId="127" xfId="2" applyNumberFormat="1" applyFont="1" applyBorder="1" applyAlignment="1">
      <alignment horizontal="center"/>
    </xf>
    <xf numFmtId="172" fontId="72" fillId="0" borderId="149" xfId="0" applyNumberFormat="1" applyFont="1" applyBorder="1" applyAlignment="1">
      <alignment horizontal="center"/>
    </xf>
    <xf numFmtId="172" fontId="72" fillId="0" borderId="0" xfId="0" applyNumberFormat="1" applyFont="1" applyAlignment="1">
      <alignment horizontal="center" vertical="center"/>
    </xf>
    <xf numFmtId="0" fontId="78" fillId="0" borderId="0" xfId="0" applyFont="1" applyAlignment="1">
      <alignment vertical="center"/>
    </xf>
    <xf numFmtId="0" fontId="79" fillId="0" borderId="152" xfId="0" applyFont="1" applyBorder="1" applyAlignment="1">
      <alignment horizontal="left" vertical="center" wrapText="1" readingOrder="1"/>
    </xf>
    <xf numFmtId="0" fontId="80" fillId="0" borderId="153" xfId="0" applyFont="1" applyBorder="1" applyAlignment="1">
      <alignment horizontal="left" vertical="center" wrapText="1" readingOrder="1"/>
    </xf>
    <xf numFmtId="0" fontId="81" fillId="0" borderId="0" xfId="0" applyFont="1" applyAlignment="1">
      <alignment vertical="center"/>
    </xf>
    <xf numFmtId="0" fontId="82" fillId="0" borderId="0" xfId="0" applyFont="1" applyAlignment="1">
      <alignment horizontal="center" vertical="center"/>
    </xf>
    <xf numFmtId="0" fontId="80" fillId="0" borderId="154" xfId="0" applyFont="1" applyBorder="1" applyAlignment="1">
      <alignment horizontal="left" vertical="center" wrapText="1" readingOrder="1"/>
    </xf>
    <xf numFmtId="0" fontId="81" fillId="0" borderId="0" xfId="0" applyFont="1" applyAlignment="1">
      <alignment horizontal="center" vertical="center"/>
    </xf>
    <xf numFmtId="0" fontId="79" fillId="28" borderId="152" xfId="0" applyFont="1" applyFill="1" applyBorder="1" applyAlignment="1">
      <alignment horizontal="center" vertical="center" wrapText="1" readingOrder="1"/>
    </xf>
    <xf numFmtId="0" fontId="79" fillId="28" borderId="152" xfId="0" applyFont="1" applyFill="1" applyBorder="1" applyAlignment="1">
      <alignment horizontal="left" vertical="center" wrapText="1" readingOrder="1"/>
    </xf>
    <xf numFmtId="0" fontId="83" fillId="0" borderId="0" xfId="0" applyFont="1" applyAlignment="1">
      <alignment vertical="center"/>
    </xf>
    <xf numFmtId="9" fontId="83" fillId="0" borderId="0" xfId="0" applyNumberFormat="1" applyFont="1" applyAlignment="1">
      <alignment vertical="center"/>
    </xf>
    <xf numFmtId="9" fontId="84" fillId="0" borderId="0" xfId="0" applyNumberFormat="1" applyFont="1" applyAlignment="1">
      <alignment vertical="center"/>
    </xf>
    <xf numFmtId="0" fontId="85" fillId="29" borderId="153" xfId="0" applyFont="1" applyFill="1" applyBorder="1" applyAlignment="1">
      <alignment horizontal="center" vertical="center" wrapText="1" readingOrder="1"/>
    </xf>
    <xf numFmtId="0" fontId="80" fillId="29" borderId="153" xfId="0" applyFont="1" applyFill="1" applyBorder="1" applyAlignment="1">
      <alignment horizontal="left" vertical="center" wrapText="1" readingOrder="1"/>
    </xf>
    <xf numFmtId="172" fontId="80" fillId="29" borderId="153" xfId="0" applyNumberFormat="1" applyFont="1" applyFill="1" applyBorder="1" applyAlignment="1">
      <alignment horizontal="center" vertical="center" wrapText="1" readingOrder="1"/>
    </xf>
    <xf numFmtId="0" fontId="83" fillId="30" borderId="155" xfId="0" applyFont="1" applyFill="1" applyBorder="1" applyAlignment="1">
      <alignment vertical="center"/>
    </xf>
    <xf numFmtId="0" fontId="83" fillId="30" borderId="156" xfId="0" applyFont="1" applyFill="1" applyBorder="1" applyAlignment="1">
      <alignment vertical="center"/>
    </xf>
    <xf numFmtId="0" fontId="83" fillId="31" borderId="156" xfId="0" applyFont="1" applyFill="1" applyBorder="1" applyAlignment="1">
      <alignment vertical="center"/>
    </xf>
    <xf numFmtId="0" fontId="86" fillId="25" borderId="156" xfId="0" applyFont="1" applyFill="1" applyBorder="1" applyAlignment="1">
      <alignment horizontal="left" vertical="center"/>
    </xf>
    <xf numFmtId="0" fontId="86" fillId="25" borderId="157" xfId="0" applyFont="1" applyFill="1" applyBorder="1" applyAlignment="1">
      <alignment horizontal="right" vertical="center"/>
    </xf>
    <xf numFmtId="176" fontId="80" fillId="29" borderId="153" xfId="0" applyNumberFormat="1" applyFont="1" applyFill="1" applyBorder="1" applyAlignment="1">
      <alignment horizontal="center" vertical="center" wrapText="1" readingOrder="1"/>
    </xf>
    <xf numFmtId="0" fontId="85" fillId="32" borderId="154" xfId="0" applyFont="1" applyFill="1" applyBorder="1" applyAlignment="1">
      <alignment horizontal="center" vertical="center" wrapText="1" readingOrder="1"/>
    </xf>
    <xf numFmtId="0" fontId="80" fillId="32" borderId="154" xfId="0" applyFont="1" applyFill="1" applyBorder="1" applyAlignment="1">
      <alignment horizontal="left" vertical="center" wrapText="1" readingOrder="1"/>
    </xf>
    <xf numFmtId="172" fontId="80" fillId="32" borderId="154" xfId="0" applyNumberFormat="1" applyFont="1" applyFill="1" applyBorder="1" applyAlignment="1">
      <alignment horizontal="center" vertical="center" wrapText="1" readingOrder="1"/>
    </xf>
    <xf numFmtId="0" fontId="81" fillId="0" borderId="158" xfId="0" applyFont="1" applyBorder="1" applyAlignment="1">
      <alignment vertical="center" textRotation="90" wrapText="1"/>
    </xf>
    <xf numFmtId="0" fontId="83" fillId="30" borderId="159" xfId="0" applyFont="1" applyFill="1" applyBorder="1" applyAlignment="1">
      <alignment vertical="center"/>
    </xf>
    <xf numFmtId="0" fontId="84" fillId="30" borderId="0" xfId="0" applyFont="1" applyFill="1" applyAlignment="1">
      <alignment vertical="center"/>
    </xf>
    <xf numFmtId="0" fontId="83" fillId="30" borderId="0" xfId="0" applyFont="1" applyFill="1" applyAlignment="1">
      <alignment vertical="center"/>
    </xf>
    <xf numFmtId="0" fontId="83" fillId="31" borderId="0" xfId="0" applyFont="1" applyFill="1" applyAlignment="1">
      <alignment vertical="center"/>
    </xf>
    <xf numFmtId="0" fontId="86" fillId="25" borderId="0" xfId="0" applyFont="1" applyFill="1" applyAlignment="1">
      <alignment horizontal="left" vertical="center"/>
    </xf>
    <xf numFmtId="0" fontId="86" fillId="25" borderId="158" xfId="0" applyFont="1" applyFill="1" applyBorder="1" applyAlignment="1">
      <alignment vertical="center"/>
    </xf>
    <xf numFmtId="9" fontId="84" fillId="0" borderId="0" xfId="0" applyNumberFormat="1" applyFont="1" applyAlignment="1">
      <alignment horizontal="left" vertical="center"/>
    </xf>
    <xf numFmtId="0" fontId="85" fillId="29" borderId="154" xfId="0" applyFont="1" applyFill="1" applyBorder="1" applyAlignment="1">
      <alignment horizontal="center" vertical="center" wrapText="1" readingOrder="1"/>
    </xf>
    <xf numFmtId="0" fontId="80" fillId="29" borderId="154" xfId="0" applyFont="1" applyFill="1" applyBorder="1" applyAlignment="1">
      <alignment horizontal="left" vertical="center" wrapText="1" readingOrder="1"/>
    </xf>
    <xf numFmtId="172" fontId="80" fillId="29" borderId="154" xfId="0" applyNumberFormat="1" applyFont="1" applyFill="1" applyBorder="1" applyAlignment="1">
      <alignment horizontal="center" vertical="center" wrapText="1" readingOrder="1"/>
    </xf>
    <xf numFmtId="0" fontId="86" fillId="31" borderId="0" xfId="0" applyFont="1" applyFill="1" applyAlignment="1">
      <alignment vertical="center"/>
    </xf>
    <xf numFmtId="0" fontId="88" fillId="31" borderId="0" xfId="0" applyFont="1" applyFill="1" applyAlignment="1">
      <alignment horizontal="left" vertical="center"/>
    </xf>
    <xf numFmtId="0" fontId="86" fillId="31" borderId="158" xfId="0" applyFont="1" applyFill="1" applyBorder="1" applyAlignment="1">
      <alignment vertical="center"/>
    </xf>
    <xf numFmtId="0" fontId="83" fillId="0" borderId="0" xfId="0" applyFont="1" applyAlignment="1">
      <alignment horizontal="left" vertical="center"/>
    </xf>
    <xf numFmtId="0" fontId="88" fillId="31" borderId="0" xfId="0" applyFont="1" applyFill="1" applyAlignment="1">
      <alignment vertical="center"/>
    </xf>
    <xf numFmtId="0" fontId="89" fillId="33" borderId="159" xfId="0" applyFont="1" applyFill="1" applyBorder="1" applyAlignment="1">
      <alignment vertical="center"/>
    </xf>
    <xf numFmtId="0" fontId="90" fillId="33" borderId="0" xfId="0" applyFont="1" applyFill="1" applyAlignment="1">
      <alignment vertical="center"/>
    </xf>
    <xf numFmtId="0" fontId="89" fillId="33" borderId="0" xfId="0" applyFont="1" applyFill="1" applyAlignment="1">
      <alignment vertical="center"/>
    </xf>
    <xf numFmtId="0" fontId="83" fillId="34" borderId="0" xfId="0" applyFont="1" applyFill="1" applyAlignment="1">
      <alignment vertical="center"/>
    </xf>
    <xf numFmtId="0" fontId="83" fillId="34" borderId="158" xfId="0" applyFont="1" applyFill="1" applyBorder="1" applyAlignment="1">
      <alignment vertical="center"/>
    </xf>
    <xf numFmtId="0" fontId="74" fillId="0" borderId="154" xfId="0" applyFont="1" applyBorder="1" applyAlignment="1">
      <alignment horizontal="right" vertical="center" wrapText="1" readingOrder="1"/>
    </xf>
    <xf numFmtId="0" fontId="86" fillId="35" borderId="159" xfId="0" applyFont="1" applyFill="1" applyBorder="1" applyAlignment="1">
      <alignment vertical="center"/>
    </xf>
    <xf numFmtId="0" fontId="86" fillId="35" borderId="0" xfId="0" applyFont="1" applyFill="1" applyAlignment="1">
      <alignment vertical="center"/>
    </xf>
    <xf numFmtId="0" fontId="83" fillId="33" borderId="0" xfId="0" applyFont="1" applyFill="1" applyAlignment="1">
      <alignment vertical="center"/>
    </xf>
    <xf numFmtId="177" fontId="74" fillId="0" borderId="154" xfId="12" applyNumberFormat="1" applyFont="1" applyBorder="1" applyAlignment="1">
      <alignment horizontal="right" vertical="center" wrapText="1" readingOrder="1"/>
    </xf>
    <xf numFmtId="0" fontId="88" fillId="35" borderId="0" xfId="0" applyFont="1" applyFill="1" applyAlignment="1">
      <alignment vertical="center"/>
    </xf>
    <xf numFmtId="0" fontId="84" fillId="34" borderId="0" xfId="0" applyFont="1" applyFill="1" applyAlignment="1">
      <alignment vertical="center"/>
    </xf>
    <xf numFmtId="0" fontId="88" fillId="35" borderId="0" xfId="0" applyFont="1" applyFill="1" applyAlignment="1">
      <alignment horizontal="center" vertical="center"/>
    </xf>
    <xf numFmtId="0" fontId="86" fillId="35" borderId="160" xfId="0" applyFont="1" applyFill="1" applyBorder="1" applyAlignment="1">
      <alignment vertical="center"/>
    </xf>
    <xf numFmtId="0" fontId="86" fillId="35" borderId="161" xfId="0" applyFont="1" applyFill="1" applyBorder="1" applyAlignment="1">
      <alignment vertical="center"/>
    </xf>
    <xf numFmtId="0" fontId="83" fillId="33" borderId="161" xfId="0" applyFont="1" applyFill="1" applyBorder="1" applyAlignment="1">
      <alignment vertical="center"/>
    </xf>
    <xf numFmtId="0" fontId="83" fillId="34" borderId="161" xfId="0" applyFont="1" applyFill="1" applyBorder="1" applyAlignment="1">
      <alignment vertical="center"/>
    </xf>
    <xf numFmtId="0" fontId="83" fillId="34" borderId="162" xfId="0" applyFont="1" applyFill="1" applyBorder="1" applyAlignment="1">
      <alignment vertical="center"/>
    </xf>
    <xf numFmtId="0" fontId="72" fillId="0" borderId="154" xfId="0" applyFont="1" applyBorder="1" applyAlignment="1">
      <alignment horizontal="left" vertical="center" wrapText="1" readingOrder="1"/>
    </xf>
    <xf numFmtId="0" fontId="74" fillId="10" borderId="154" xfId="0" applyFont="1" applyFill="1" applyBorder="1" applyAlignment="1">
      <alignment horizontal="right" vertical="center" wrapText="1" readingOrder="1"/>
    </xf>
    <xf numFmtId="172" fontId="74" fillId="10" borderId="154" xfId="0" applyNumberFormat="1" applyFont="1" applyFill="1" applyBorder="1" applyAlignment="1">
      <alignment horizontal="center" vertical="center" wrapText="1" readingOrder="1"/>
    </xf>
    <xf numFmtId="177" fontId="81" fillId="10" borderId="0" xfId="2" applyNumberFormat="1" applyFont="1" applyFill="1" applyAlignment="1">
      <alignment horizontal="center" vertical="center"/>
    </xf>
    <xf numFmtId="0" fontId="87" fillId="0" borderId="0" xfId="0" applyFont="1" applyAlignment="1">
      <alignment vertical="center"/>
    </xf>
    <xf numFmtId="0" fontId="85" fillId="0" borderId="154" xfId="0" applyFont="1" applyBorder="1" applyAlignment="1">
      <alignment horizontal="center" vertical="center" wrapText="1" readingOrder="1"/>
    </xf>
    <xf numFmtId="172" fontId="80" fillId="0" borderId="154" xfId="0" applyNumberFormat="1" applyFont="1" applyBorder="1" applyAlignment="1">
      <alignment horizontal="center" vertical="center" wrapText="1" readingOrder="1"/>
    </xf>
    <xf numFmtId="0" fontId="81" fillId="10" borderId="0" xfId="0" applyFont="1" applyFill="1" applyAlignment="1">
      <alignment horizontal="right" vertical="center"/>
    </xf>
    <xf numFmtId="172" fontId="74" fillId="10" borderId="0" xfId="0" applyNumberFormat="1" applyFont="1" applyFill="1" applyAlignment="1">
      <alignment horizontal="center" vertical="center"/>
    </xf>
    <xf numFmtId="9" fontId="78" fillId="0" borderId="0" xfId="0" applyNumberFormat="1" applyFont="1" applyAlignment="1">
      <alignment vertical="center"/>
    </xf>
    <xf numFmtId="0" fontId="72" fillId="0" borderId="0" xfId="8" applyFont="1" applyAlignment="1">
      <alignment vertical="center"/>
    </xf>
    <xf numFmtId="0" fontId="91" fillId="23" borderId="164" xfId="8" applyFont="1" applyFill="1" applyBorder="1" applyAlignment="1">
      <alignment horizontal="center" vertical="center"/>
    </xf>
    <xf numFmtId="0" fontId="91" fillId="8" borderId="164" xfId="8" applyFont="1" applyFill="1" applyBorder="1" applyAlignment="1">
      <alignment horizontal="center" vertical="center"/>
    </xf>
    <xf numFmtId="0" fontId="91" fillId="15" borderId="164" xfId="8" applyFont="1" applyFill="1" applyBorder="1" applyAlignment="1">
      <alignment horizontal="center" vertical="center"/>
    </xf>
    <xf numFmtId="0" fontId="91" fillId="36" borderId="164" xfId="8" applyFont="1" applyFill="1" applyBorder="1" applyAlignment="1">
      <alignment horizontal="center" vertical="center"/>
    </xf>
    <xf numFmtId="0" fontId="91" fillId="25" borderId="164" xfId="8" applyFont="1" applyFill="1" applyBorder="1" applyAlignment="1">
      <alignment horizontal="center" vertical="center"/>
    </xf>
    <xf numFmtId="0" fontId="72" fillId="4" borderId="164" xfId="0" applyFont="1" applyFill="1" applyBorder="1" applyAlignment="1">
      <alignment horizontal="left" vertical="center" wrapText="1"/>
    </xf>
    <xf numFmtId="0" fontId="72" fillId="26" borderId="164" xfId="0" applyFont="1" applyFill="1" applyBorder="1" applyAlignment="1">
      <alignment horizontal="left" vertical="center" wrapText="1"/>
    </xf>
    <xf numFmtId="0" fontId="72" fillId="0" borderId="0" xfId="0" applyFont="1" applyAlignment="1">
      <alignment horizontal="left" vertical="center" wrapText="1"/>
    </xf>
    <xf numFmtId="0" fontId="72" fillId="0" borderId="164" xfId="13" applyFont="1" applyBorder="1" applyAlignment="1">
      <alignment horizontal="left" vertical="center" wrapText="1"/>
    </xf>
    <xf numFmtId="0" fontId="74" fillId="4" borderId="164" xfId="8" applyFont="1" applyFill="1" applyBorder="1" applyAlignment="1">
      <alignment horizontal="center" vertical="center" wrapText="1"/>
    </xf>
    <xf numFmtId="0" fontId="74" fillId="4" borderId="164" xfId="8" applyFont="1" applyFill="1" applyBorder="1" applyAlignment="1" applyProtection="1">
      <alignment horizontal="center" vertical="center" wrapText="1"/>
      <protection locked="0"/>
    </xf>
    <xf numFmtId="0" fontId="76" fillId="2" borderId="164" xfId="11" applyFont="1" applyFill="1" applyBorder="1" applyAlignment="1">
      <alignment horizontal="center" vertical="center" wrapText="1"/>
    </xf>
    <xf numFmtId="0" fontId="72" fillId="2" borderId="164" xfId="8" applyFont="1" applyFill="1" applyBorder="1" applyAlignment="1" applyProtection="1">
      <alignment horizontal="center" vertical="center" wrapText="1"/>
      <protection locked="0"/>
    </xf>
    <xf numFmtId="0" fontId="72" fillId="2" borderId="164" xfId="8" applyFont="1" applyFill="1" applyBorder="1" applyAlignment="1">
      <alignment horizontal="center" vertical="center" wrapText="1"/>
    </xf>
    <xf numFmtId="10" fontId="72" fillId="2" borderId="164" xfId="12" applyNumberFormat="1" applyFont="1" applyFill="1" applyBorder="1" applyAlignment="1">
      <alignment horizontal="center" vertical="center" wrapText="1"/>
    </xf>
    <xf numFmtId="0" fontId="72" fillId="4" borderId="164" xfId="8" applyFont="1" applyFill="1" applyBorder="1" applyAlignment="1" applyProtection="1">
      <alignment horizontal="left" vertical="center" wrapText="1"/>
      <protection locked="0"/>
    </xf>
    <xf numFmtId="0" fontId="72" fillId="26" borderId="164" xfId="8" applyFont="1" applyFill="1" applyBorder="1" applyAlignment="1" applyProtection="1">
      <alignment horizontal="left" vertical="center" wrapText="1"/>
      <protection locked="0"/>
    </xf>
    <xf numFmtId="0" fontId="72" fillId="0" borderId="0" xfId="8" applyFont="1" applyAlignment="1">
      <alignment vertical="center" wrapText="1"/>
    </xf>
    <xf numFmtId="0" fontId="72" fillId="0" borderId="169" xfId="8" applyFont="1" applyBorder="1" applyAlignment="1" applyProtection="1">
      <alignment horizontal="center" vertical="center"/>
      <protection locked="0"/>
    </xf>
    <xf numFmtId="0" fontId="72" fillId="0" borderId="170" xfId="8" applyFont="1" applyBorder="1" applyAlignment="1" applyProtection="1">
      <alignment horizontal="left" vertical="center"/>
      <protection locked="0"/>
    </xf>
    <xf numFmtId="0" fontId="72" fillId="0" borderId="170" xfId="8" applyFont="1" applyBorder="1" applyAlignment="1" applyProtection="1">
      <alignment vertical="center"/>
      <protection locked="0"/>
    </xf>
    <xf numFmtId="0" fontId="72" fillId="0" borderId="171" xfId="8" applyFont="1" applyBorder="1" applyAlignment="1" applyProtection="1">
      <alignment vertical="center"/>
      <protection locked="0"/>
    </xf>
    <xf numFmtId="0" fontId="93" fillId="0" borderId="125" xfId="0" applyFont="1" applyBorder="1"/>
    <xf numFmtId="0" fontId="74" fillId="0" borderId="0" xfId="0" applyFont="1" applyAlignment="1">
      <alignment horizontal="left"/>
    </xf>
    <xf numFmtId="0" fontId="93" fillId="0" borderId="0" xfId="0" applyFont="1" applyAlignment="1">
      <alignment horizontal="left"/>
    </xf>
    <xf numFmtId="0" fontId="93" fillId="0" borderId="0" xfId="0" applyFont="1"/>
    <xf numFmtId="0" fontId="93" fillId="0" borderId="126" xfId="0" applyFont="1" applyBorder="1"/>
    <xf numFmtId="0" fontId="72" fillId="0" borderId="125" xfId="8" applyFont="1" applyBorder="1" applyAlignment="1">
      <alignment horizontal="center" vertical="center"/>
    </xf>
    <xf numFmtId="0" fontId="72" fillId="0" borderId="126" xfId="8" applyFont="1" applyBorder="1" applyAlignment="1">
      <alignment vertical="center"/>
    </xf>
    <xf numFmtId="0" fontId="72" fillId="0" borderId="0" xfId="8" applyFont="1" applyAlignment="1">
      <alignment horizontal="center" vertical="center"/>
    </xf>
    <xf numFmtId="0" fontId="91" fillId="23" borderId="164" xfId="0" applyFont="1" applyFill="1" applyBorder="1" applyAlignment="1">
      <alignment horizontal="center" vertical="center"/>
    </xf>
    <xf numFmtId="0" fontId="91" fillId="8" borderId="164" xfId="0" applyFont="1" applyFill="1" applyBorder="1" applyAlignment="1">
      <alignment horizontal="center" vertical="center"/>
    </xf>
    <xf numFmtId="0" fontId="91" fillId="15" borderId="164" xfId="0" applyFont="1" applyFill="1" applyBorder="1" applyAlignment="1">
      <alignment horizontal="center" vertical="center"/>
    </xf>
    <xf numFmtId="0" fontId="91" fillId="36" borderId="164" xfId="0" applyFont="1" applyFill="1" applyBorder="1" applyAlignment="1">
      <alignment horizontal="center" vertical="center"/>
    </xf>
    <xf numFmtId="0" fontId="91" fillId="25" borderId="164" xfId="0" applyFont="1" applyFill="1" applyBorder="1" applyAlignment="1">
      <alignment horizontal="center" vertical="center"/>
    </xf>
    <xf numFmtId="0" fontId="72" fillId="4" borderId="164" xfId="0" applyFont="1" applyFill="1" applyBorder="1" applyAlignment="1" applyProtection="1">
      <alignment horizontal="left" vertical="center" wrapText="1"/>
      <protection locked="0"/>
    </xf>
    <xf numFmtId="0" fontId="72" fillId="26" borderId="164" xfId="0" applyFont="1" applyFill="1" applyBorder="1" applyAlignment="1" applyProtection="1">
      <alignment vertical="center" wrapText="1"/>
      <protection locked="0"/>
    </xf>
    <xf numFmtId="0" fontId="72" fillId="0" borderId="0" xfId="0" applyFont="1" applyAlignment="1">
      <alignment vertical="center" wrapText="1"/>
    </xf>
    <xf numFmtId="0" fontId="72" fillId="0" borderId="164" xfId="13" applyFont="1" applyBorder="1" applyAlignment="1">
      <alignment horizontal="center" vertical="center" wrapText="1"/>
    </xf>
    <xf numFmtId="0" fontId="72" fillId="0" borderId="164" xfId="0" applyFont="1" applyBorder="1" applyAlignment="1">
      <alignment vertical="center" wrapText="1"/>
    </xf>
    <xf numFmtId="0" fontId="72" fillId="0" borderId="164" xfId="0" applyFont="1" applyBorder="1" applyAlignment="1">
      <alignment vertical="center" readingOrder="1"/>
    </xf>
    <xf numFmtId="0" fontId="72" fillId="0" borderId="164" xfId="0" applyFont="1" applyBorder="1" applyAlignment="1">
      <alignment horizontal="left" vertical="center" readingOrder="1"/>
    </xf>
    <xf numFmtId="0" fontId="72" fillId="37" borderId="164" xfId="0" applyFont="1" applyFill="1" applyBorder="1" applyAlignment="1">
      <alignment horizontal="center" vertical="center" wrapText="1"/>
    </xf>
    <xf numFmtId="0" fontId="72" fillId="37" borderId="164" xfId="0" applyFont="1" applyFill="1" applyBorder="1" applyAlignment="1">
      <alignment horizontal="left" vertical="center" wrapText="1"/>
    </xf>
    <xf numFmtId="0" fontId="72" fillId="26" borderId="164" xfId="0" applyFont="1" applyFill="1" applyBorder="1" applyAlignment="1">
      <alignment vertical="center" wrapText="1"/>
    </xf>
    <xf numFmtId="10" fontId="72" fillId="0" borderId="164" xfId="0" applyNumberFormat="1" applyFont="1" applyBorder="1" applyAlignment="1">
      <alignment horizontal="left" vertical="center" wrapText="1"/>
    </xf>
    <xf numFmtId="0" fontId="72" fillId="2" borderId="164" xfId="0" applyFont="1" applyFill="1" applyBorder="1" applyAlignment="1">
      <alignment vertical="center" wrapText="1"/>
    </xf>
    <xf numFmtId="9" fontId="72" fillId="2" borderId="164" xfId="8" applyNumberFormat="1" applyFont="1" applyFill="1" applyBorder="1" applyAlignment="1">
      <alignment horizontal="left" vertical="center" wrapText="1"/>
    </xf>
    <xf numFmtId="0" fontId="72" fillId="0" borderId="164" xfId="0" quotePrefix="1" applyFont="1" applyBorder="1" applyAlignment="1">
      <alignment horizontal="left" vertical="center" wrapText="1"/>
    </xf>
    <xf numFmtId="0" fontId="72" fillId="37" borderId="164" xfId="0" applyFont="1" applyFill="1" applyBorder="1" applyAlignment="1">
      <alignment vertical="center" wrapText="1"/>
    </xf>
    <xf numFmtId="0" fontId="72" fillId="0" borderId="0" xfId="0" applyFont="1" applyAlignment="1">
      <alignment wrapText="1"/>
    </xf>
    <xf numFmtId="49" fontId="72" fillId="0" borderId="164" xfId="0" applyNumberFormat="1" applyFont="1" applyBorder="1" applyAlignment="1">
      <alignment horizontal="left" vertical="center" wrapText="1"/>
    </xf>
    <xf numFmtId="177" fontId="72" fillId="0" borderId="164" xfId="0" applyNumberFormat="1" applyFont="1" applyBorder="1" applyAlignment="1">
      <alignment horizontal="left" vertical="center" wrapText="1"/>
    </xf>
    <xf numFmtId="0" fontId="72" fillId="0" borderId="164" xfId="0" applyFont="1" applyBorder="1" applyAlignment="1">
      <alignment horizontal="center" vertical="center" wrapText="1"/>
    </xf>
    <xf numFmtId="17" fontId="72" fillId="0" borderId="164" xfId="0" applyNumberFormat="1" applyFont="1" applyBorder="1" applyAlignment="1">
      <alignment horizontal="left" vertical="center" wrapText="1"/>
    </xf>
    <xf numFmtId="0" fontId="72" fillId="0" borderId="169" xfId="0" applyFont="1" applyBorder="1"/>
    <xf numFmtId="0" fontId="72" fillId="0" borderId="170" xfId="0" applyFont="1" applyBorder="1" applyAlignment="1">
      <alignment horizontal="left"/>
    </xf>
    <xf numFmtId="0" fontId="72" fillId="0" borderId="170" xfId="0" applyFont="1" applyBorder="1"/>
    <xf numFmtId="0" fontId="72" fillId="0" borderId="171" xfId="0" applyFont="1" applyBorder="1"/>
    <xf numFmtId="0" fontId="72" fillId="0" borderId="125" xfId="0" applyFont="1" applyBorder="1"/>
    <xf numFmtId="0" fontId="72" fillId="0" borderId="126" xfId="0" applyFont="1" applyBorder="1"/>
    <xf numFmtId="0" fontId="72" fillId="0" borderId="0" xfId="0" applyFont="1" applyAlignment="1">
      <alignment horizontal="left"/>
    </xf>
    <xf numFmtId="0" fontId="72" fillId="0" borderId="125" xfId="0" applyFont="1" applyBorder="1" applyAlignment="1">
      <alignment vertical="center"/>
    </xf>
    <xf numFmtId="0" fontId="72" fillId="0" borderId="0" xfId="0" applyFont="1" applyAlignment="1">
      <alignment horizontal="left" vertical="center"/>
    </xf>
    <xf numFmtId="0" fontId="72" fillId="0" borderId="126" xfId="0" applyFont="1" applyBorder="1" applyAlignment="1">
      <alignment vertical="center"/>
    </xf>
    <xf numFmtId="0" fontId="72" fillId="4" borderId="164" xfId="0" applyFont="1" applyFill="1" applyBorder="1" applyAlignment="1" applyProtection="1">
      <alignment horizontal="left" vertical="center"/>
      <protection locked="0"/>
    </xf>
    <xf numFmtId="0" fontId="72" fillId="26" borderId="164" xfId="0" applyFont="1" applyFill="1" applyBorder="1" applyAlignment="1" applyProtection="1">
      <alignment horizontal="left" vertical="center"/>
      <protection locked="0"/>
    </xf>
    <xf numFmtId="0" fontId="76" fillId="2" borderId="164" xfId="11" applyFont="1" applyFill="1" applyBorder="1" applyAlignment="1">
      <alignment horizontal="left" vertical="center" wrapText="1"/>
    </xf>
    <xf numFmtId="9" fontId="72" fillId="0" borderId="164" xfId="0" applyNumberFormat="1" applyFont="1" applyBorder="1" applyAlignment="1">
      <alignment horizontal="left" vertical="center" wrapText="1"/>
    </xf>
    <xf numFmtId="9" fontId="72" fillId="0" borderId="167" xfId="0" applyNumberFormat="1" applyFont="1" applyBorder="1" applyAlignment="1">
      <alignment horizontal="left" vertical="center" wrapText="1"/>
    </xf>
    <xf numFmtId="0" fontId="72" fillId="0" borderId="167" xfId="13" applyFont="1" applyBorder="1" applyAlignment="1">
      <alignment horizontal="left" vertical="center" wrapText="1"/>
    </xf>
    <xf numFmtId="0" fontId="72" fillId="0" borderId="169" xfId="8" applyFont="1" applyBorder="1" applyAlignment="1">
      <alignment horizontal="center" vertical="center"/>
    </xf>
    <xf numFmtId="0" fontId="72" fillId="0" borderId="170" xfId="8" applyFont="1" applyBorder="1" applyAlignment="1">
      <alignment vertical="center"/>
    </xf>
    <xf numFmtId="0" fontId="72" fillId="0" borderId="171" xfId="8" applyFont="1" applyBorder="1" applyAlignment="1">
      <alignment vertical="center"/>
    </xf>
    <xf numFmtId="0" fontId="72" fillId="0" borderId="125" xfId="0" applyFont="1" applyBorder="1" applyAlignment="1">
      <alignment horizontal="center" vertical="center"/>
    </xf>
    <xf numFmtId="0" fontId="74" fillId="0" borderId="0" xfId="0" applyFont="1" applyAlignment="1">
      <alignment vertical="center"/>
    </xf>
    <xf numFmtId="0" fontId="72" fillId="0" borderId="136" xfId="0" applyFont="1" applyBorder="1" applyAlignment="1">
      <alignment horizontal="center" vertical="center"/>
    </xf>
    <xf numFmtId="0" fontId="72" fillId="0" borderId="173" xfId="0" applyFont="1" applyBorder="1" applyAlignment="1">
      <alignment vertical="center"/>
    </xf>
    <xf numFmtId="0" fontId="72" fillId="0" borderId="173" xfId="0" applyFont="1" applyBorder="1" applyAlignment="1">
      <alignment horizontal="left" vertical="center"/>
    </xf>
    <xf numFmtId="0" fontId="72" fillId="0" borderId="174" xfId="0" applyFont="1" applyBorder="1" applyAlignment="1">
      <alignment vertical="center"/>
    </xf>
    <xf numFmtId="0" fontId="72" fillId="0" borderId="0" xfId="0" applyFont="1" applyAlignment="1">
      <alignment horizontal="center" vertical="center"/>
    </xf>
    <xf numFmtId="0" fontId="72" fillId="4" borderId="164" xfId="8" applyFont="1" applyFill="1" applyBorder="1" applyAlignment="1">
      <alignment horizontal="left" vertical="center" wrapText="1"/>
    </xf>
    <xf numFmtId="0" fontId="72" fillId="26" borderId="164" xfId="8" applyFont="1" applyFill="1" applyBorder="1" applyAlignment="1">
      <alignment horizontal="left" vertical="center" wrapText="1"/>
    </xf>
    <xf numFmtId="0" fontId="72" fillId="4" borderId="164" xfId="8" applyFont="1" applyFill="1" applyBorder="1" applyAlignment="1">
      <alignment horizontal="left" vertical="center" textRotation="90" wrapText="1"/>
    </xf>
    <xf numFmtId="177" fontId="72" fillId="0" borderId="164" xfId="8" applyNumberFormat="1" applyFont="1" applyBorder="1" applyAlignment="1">
      <alignment horizontal="left" vertical="center" wrapText="1"/>
    </xf>
    <xf numFmtId="0" fontId="0" fillId="0" borderId="169" xfId="0" applyBorder="1"/>
    <xf numFmtId="0" fontId="0" fillId="0" borderId="170" xfId="0" applyBorder="1"/>
    <xf numFmtId="0" fontId="0" fillId="0" borderId="171" xfId="0" applyBorder="1"/>
    <xf numFmtId="0" fontId="0" fillId="0" borderId="125" xfId="0" applyBorder="1"/>
    <xf numFmtId="0" fontId="81" fillId="0" borderId="0" xfId="0" applyFont="1"/>
    <xf numFmtId="0" fontId="0" fillId="0" borderId="126" xfId="0" applyBorder="1"/>
    <xf numFmtId="0" fontId="93" fillId="0" borderId="136" xfId="0" applyFont="1" applyBorder="1"/>
    <xf numFmtId="0" fontId="93" fillId="0" borderId="173" xfId="0" applyFont="1" applyBorder="1"/>
    <xf numFmtId="0" fontId="93" fillId="0" borderId="174" xfId="0" applyFont="1" applyBorder="1"/>
    <xf numFmtId="0" fontId="72" fillId="4" borderId="176" xfId="0" applyFont="1" applyFill="1" applyBorder="1" applyAlignment="1">
      <alignment horizontal="left" vertical="center" textRotation="90" wrapText="1"/>
    </xf>
    <xf numFmtId="0" fontId="72" fillId="4" borderId="176" xfId="0" applyFont="1" applyFill="1" applyBorder="1" applyAlignment="1">
      <alignment horizontal="left" vertical="center" wrapText="1"/>
    </xf>
    <xf numFmtId="9" fontId="72" fillId="0" borderId="176" xfId="0" applyNumberFormat="1" applyFont="1" applyBorder="1" applyAlignment="1">
      <alignment horizontal="left" vertical="center" wrapText="1"/>
    </xf>
    <xf numFmtId="9" fontId="72" fillId="0" borderId="176" xfId="0" applyNumberFormat="1" applyFont="1" applyBorder="1" applyAlignment="1">
      <alignment vertical="center" wrapText="1"/>
    </xf>
    <xf numFmtId="0" fontId="72" fillId="0" borderId="0" xfId="0" applyFont="1" applyAlignment="1">
      <alignment horizontal="center"/>
    </xf>
    <xf numFmtId="0" fontId="93" fillId="37" borderId="164" xfId="0" applyFont="1" applyFill="1" applyBorder="1" applyAlignment="1">
      <alignment horizontal="left"/>
    </xf>
    <xf numFmtId="0" fontId="72" fillId="26" borderId="164" xfId="0" applyFont="1" applyFill="1" applyBorder="1"/>
    <xf numFmtId="0" fontId="93" fillId="0" borderId="164" xfId="0" quotePrefix="1" applyFont="1" applyBorder="1" applyAlignment="1">
      <alignment horizontal="left" vertical="center"/>
    </xf>
    <xf numFmtId="0" fontId="72" fillId="0" borderId="164" xfId="0" applyFont="1" applyBorder="1"/>
    <xf numFmtId="0" fontId="93" fillId="4" borderId="164" xfId="0" applyFont="1" applyFill="1" applyBorder="1"/>
    <xf numFmtId="0" fontId="74" fillId="0" borderId="147" xfId="13" applyFont="1" applyBorder="1" applyAlignment="1">
      <alignment horizontal="center" vertical="center" wrapText="1"/>
    </xf>
    <xf numFmtId="0" fontId="93" fillId="0" borderId="164" xfId="0" applyFont="1" applyBorder="1" applyAlignment="1">
      <alignment vertical="center"/>
    </xf>
    <xf numFmtId="0" fontId="93" fillId="4" borderId="164" xfId="0" applyFont="1" applyFill="1" applyBorder="1" applyAlignment="1">
      <alignment horizontal="left"/>
    </xf>
    <xf numFmtId="177" fontId="93" fillId="0" borderId="164" xfId="0" applyNumberFormat="1" applyFont="1" applyBorder="1" applyAlignment="1">
      <alignment horizontal="left" vertical="center" wrapText="1"/>
    </xf>
    <xf numFmtId="0" fontId="14" fillId="4" borderId="164" xfId="0" applyFont="1" applyFill="1" applyBorder="1" applyAlignment="1">
      <alignment horizontal="left" vertical="center" wrapText="1"/>
    </xf>
    <xf numFmtId="0" fontId="101" fillId="0" borderId="0" xfId="0" applyFont="1"/>
    <xf numFmtId="0" fontId="93" fillId="4" borderId="164" xfId="8" applyFont="1" applyFill="1" applyBorder="1" applyAlignment="1" applyProtection="1">
      <alignment horizontal="center" vertical="center" wrapText="1"/>
      <protection locked="0"/>
    </xf>
    <xf numFmtId="0" fontId="93" fillId="0" borderId="164" xfId="8" applyFont="1" applyBorder="1" applyAlignment="1">
      <alignment horizontal="left" vertical="top" wrapText="1"/>
    </xf>
    <xf numFmtId="0" fontId="93" fillId="2" borderId="164" xfId="8" applyFont="1" applyFill="1" applyBorder="1" applyAlignment="1">
      <alignment horizontal="left" vertical="top" wrapText="1"/>
    </xf>
    <xf numFmtId="177" fontId="93" fillId="0" borderId="164" xfId="8" applyNumberFormat="1" applyFont="1" applyBorder="1" applyAlignment="1">
      <alignment horizontal="left" vertical="top" wrapText="1"/>
    </xf>
    <xf numFmtId="0" fontId="72" fillId="26" borderId="164" xfId="8" applyFont="1" applyFill="1" applyBorder="1" applyAlignment="1" applyProtection="1">
      <alignment vertical="center" wrapText="1"/>
      <protection locked="0"/>
    </xf>
    <xf numFmtId="0" fontId="103" fillId="0" borderId="0" xfId="8" applyFont="1" applyAlignment="1">
      <alignment vertical="center" wrapText="1"/>
    </xf>
    <xf numFmtId="0" fontId="93" fillId="0" borderId="164" xfId="0" applyFont="1" applyBorder="1" applyAlignment="1">
      <alignment horizontal="left" vertical="top" wrapText="1"/>
    </xf>
    <xf numFmtId="0" fontId="93" fillId="37" borderId="164" xfId="0" applyFont="1" applyFill="1" applyBorder="1"/>
    <xf numFmtId="0" fontId="78" fillId="26" borderId="164" xfId="0" applyFont="1" applyFill="1" applyBorder="1" applyAlignment="1">
      <alignment horizontal="left" vertical="center" wrapText="1"/>
    </xf>
    <xf numFmtId="0" fontId="104" fillId="0" borderId="0" xfId="0" applyFont="1" applyAlignment="1">
      <alignment horizontal="left" vertical="center" wrapText="1"/>
    </xf>
    <xf numFmtId="0" fontId="93" fillId="0" borderId="169" xfId="0" applyFont="1" applyBorder="1"/>
    <xf numFmtId="0" fontId="93" fillId="0" borderId="170" xfId="0" applyFont="1" applyBorder="1"/>
    <xf numFmtId="0" fontId="93" fillId="0" borderId="171" xfId="0" applyFont="1" applyBorder="1"/>
    <xf numFmtId="0" fontId="74" fillId="0" borderId="0" xfId="0" applyFont="1"/>
    <xf numFmtId="0" fontId="14" fillId="0" borderId="0" xfId="0" applyFont="1"/>
    <xf numFmtId="0" fontId="72" fillId="4" borderId="164" xfId="0" applyFont="1" applyFill="1" applyBorder="1" applyAlignment="1">
      <alignment horizontal="center" vertical="center" wrapText="1"/>
    </xf>
    <xf numFmtId="0" fontId="78" fillId="0" borderId="0" xfId="0" applyFont="1" applyAlignment="1">
      <alignment horizontal="left" vertical="center" wrapText="1"/>
    </xf>
    <xf numFmtId="0" fontId="78" fillId="0" borderId="170" xfId="0" applyFont="1" applyBorder="1" applyAlignment="1">
      <alignment horizontal="left" vertical="center" wrapText="1"/>
    </xf>
    <xf numFmtId="177" fontId="72" fillId="2" borderId="164" xfId="12" applyNumberFormat="1" applyFont="1" applyFill="1" applyBorder="1" applyAlignment="1">
      <alignment horizontal="left" vertical="center" wrapText="1"/>
    </xf>
    <xf numFmtId="0" fontId="72" fillId="2" borderId="164" xfId="13" applyFont="1" applyFill="1" applyBorder="1" applyAlignment="1">
      <alignment horizontal="left" vertical="center" wrapText="1"/>
    </xf>
    <xf numFmtId="0" fontId="14" fillId="0" borderId="169" xfId="0" applyFont="1" applyBorder="1"/>
    <xf numFmtId="0" fontId="14" fillId="0" borderId="170" xfId="0" applyFont="1" applyBorder="1"/>
    <xf numFmtId="0" fontId="14" fillId="0" borderId="171" xfId="0" applyFont="1" applyBorder="1"/>
    <xf numFmtId="0" fontId="14" fillId="0" borderId="125" xfId="0" applyFont="1" applyBorder="1"/>
    <xf numFmtId="0" fontId="14" fillId="0" borderId="126" xfId="0" applyFont="1" applyBorder="1"/>
    <xf numFmtId="0" fontId="14" fillId="0" borderId="136" xfId="0" applyFont="1" applyBorder="1"/>
    <xf numFmtId="0" fontId="14" fillId="0" borderId="173" xfId="0" applyFont="1" applyBorder="1"/>
    <xf numFmtId="0" fontId="14" fillId="0" borderId="174" xfId="0" applyFont="1" applyBorder="1"/>
    <xf numFmtId="0" fontId="72" fillId="0" borderId="164" xfId="8" applyFont="1" applyBorder="1" applyAlignment="1">
      <alignment horizontal="center" vertical="center" wrapText="1"/>
    </xf>
    <xf numFmtId="0" fontId="93" fillId="0" borderId="0" xfId="0" applyFont="1" applyAlignment="1">
      <alignment horizontal="left" vertical="center"/>
    </xf>
    <xf numFmtId="0" fontId="74" fillId="23" borderId="176" xfId="0" applyFont="1" applyFill="1" applyBorder="1" applyAlignment="1" applyProtection="1">
      <alignment horizontal="center" vertical="center"/>
      <protection locked="0"/>
    </xf>
    <xf numFmtId="0" fontId="74" fillId="8" borderId="176" xfId="0" applyFont="1" applyFill="1" applyBorder="1" applyAlignment="1" applyProtection="1">
      <alignment horizontal="center" vertical="center"/>
      <protection locked="0"/>
    </xf>
    <xf numFmtId="0" fontId="74" fillId="15" borderId="176" xfId="0" applyFont="1" applyFill="1" applyBorder="1" applyAlignment="1" applyProtection="1">
      <alignment horizontal="center" vertical="center"/>
      <protection locked="0"/>
    </xf>
    <xf numFmtId="0" fontId="74" fillId="36" borderId="176" xfId="0" applyFont="1" applyFill="1" applyBorder="1" applyAlignment="1" applyProtection="1">
      <alignment horizontal="center" vertical="center"/>
      <protection locked="0"/>
    </xf>
    <xf numFmtId="0" fontId="74" fillId="25" borderId="176" xfId="0" applyFont="1" applyFill="1" applyBorder="1" applyAlignment="1" applyProtection="1">
      <alignment horizontal="center" vertical="center"/>
      <protection locked="0"/>
    </xf>
    <xf numFmtId="0" fontId="72" fillId="0" borderId="176" xfId="0" applyFont="1" applyBorder="1" applyAlignment="1" applyProtection="1">
      <alignment vertical="center" wrapText="1"/>
      <protection locked="0"/>
    </xf>
    <xf numFmtId="0" fontId="72" fillId="26" borderId="176" xfId="0" applyFont="1" applyFill="1" applyBorder="1" applyAlignment="1" applyProtection="1">
      <alignment horizontal="left" vertical="center" wrapText="1"/>
      <protection locked="0"/>
    </xf>
    <xf numFmtId="0" fontId="74" fillId="10" borderId="176" xfId="0" applyFont="1" applyFill="1" applyBorder="1" applyAlignment="1" applyProtection="1">
      <alignment horizontal="center" vertical="center" wrapText="1"/>
      <protection locked="0"/>
    </xf>
    <xf numFmtId="0" fontId="72" fillId="27" borderId="176" xfId="0" applyFont="1" applyFill="1" applyBorder="1" applyAlignment="1" applyProtection="1">
      <alignment horizontal="center" vertical="center" wrapText="1"/>
      <protection locked="0"/>
    </xf>
    <xf numFmtId="0" fontId="72" fillId="38" borderId="176" xfId="0" applyFont="1" applyFill="1" applyBorder="1" applyAlignment="1" applyProtection="1">
      <alignment horizontal="center" vertical="center" wrapText="1"/>
      <protection locked="0"/>
    </xf>
    <xf numFmtId="0" fontId="72" fillId="0" borderId="176" xfId="13" applyFont="1" applyBorder="1" applyAlignment="1" applyProtection="1">
      <alignment horizontal="left" vertical="center" wrapText="1"/>
      <protection locked="0"/>
    </xf>
    <xf numFmtId="0" fontId="72" fillId="0" borderId="176" xfId="0" applyFont="1" applyBorder="1" applyAlignment="1" applyProtection="1">
      <alignment vertical="center"/>
      <protection locked="0"/>
    </xf>
    <xf numFmtId="0" fontId="72" fillId="38" borderId="176" xfId="0" applyFont="1" applyFill="1" applyBorder="1" applyAlignment="1" applyProtection="1">
      <alignment horizontal="left" vertical="center" wrapText="1"/>
      <protection locked="0"/>
    </xf>
    <xf numFmtId="177" fontId="72" fillId="0" borderId="176" xfId="12" applyNumberFormat="1" applyFont="1" applyBorder="1" applyAlignment="1" applyProtection="1">
      <alignment horizontal="left" vertical="center" wrapText="1"/>
      <protection locked="0"/>
    </xf>
    <xf numFmtId="9" fontId="72" fillId="0" borderId="176" xfId="0" applyNumberFormat="1" applyFont="1" applyBorder="1" applyAlignment="1" applyProtection="1">
      <alignment horizontal="left" vertical="center" wrapText="1"/>
      <protection locked="0"/>
    </xf>
    <xf numFmtId="0" fontId="72" fillId="4" borderId="176" xfId="0" applyFont="1" applyFill="1" applyBorder="1" applyAlignment="1" applyProtection="1">
      <alignment horizontal="left" vertical="center" textRotation="90" wrapText="1"/>
      <protection locked="0"/>
    </xf>
    <xf numFmtId="0" fontId="72" fillId="4" borderId="176" xfId="0" applyFont="1" applyFill="1" applyBorder="1" applyAlignment="1" applyProtection="1">
      <alignment horizontal="left" vertical="center" wrapText="1"/>
      <protection locked="0"/>
    </xf>
    <xf numFmtId="0" fontId="14" fillId="0" borderId="81" xfId="0" applyFont="1" applyBorder="1"/>
    <xf numFmtId="0" fontId="72" fillId="0" borderId="0" xfId="0" applyFont="1" applyAlignment="1">
      <alignment vertical="center" textRotation="90"/>
    </xf>
    <xf numFmtId="0" fontId="70" fillId="4" borderId="0" xfId="0" applyFont="1" applyFill="1" applyAlignment="1">
      <alignment vertical="top"/>
    </xf>
    <xf numFmtId="0" fontId="87" fillId="4" borderId="0" xfId="7" applyFont="1" applyFill="1" applyAlignment="1">
      <alignment horizontal="center" vertical="center"/>
    </xf>
    <xf numFmtId="0" fontId="114" fillId="4" borderId="0" xfId="7" applyFont="1" applyFill="1" applyAlignment="1">
      <alignment vertical="center"/>
    </xf>
    <xf numFmtId="0" fontId="46" fillId="0" borderId="72" xfId="0" applyFont="1" applyBorder="1" applyAlignment="1">
      <alignment horizontal="center" vertical="center"/>
    </xf>
    <xf numFmtId="0" fontId="46" fillId="10" borderId="72" xfId="0" applyFont="1" applyFill="1" applyBorder="1" applyAlignment="1">
      <alignment horizontal="center" vertical="center"/>
    </xf>
    <xf numFmtId="0" fontId="46" fillId="10" borderId="73" xfId="0" applyFont="1" applyFill="1" applyBorder="1" applyAlignment="1">
      <alignment horizontal="center" vertical="center"/>
    </xf>
    <xf numFmtId="0" fontId="46" fillId="0" borderId="0" xfId="0" applyFont="1" applyAlignment="1">
      <alignment horizontal="center" vertical="center"/>
    </xf>
    <xf numFmtId="0" fontId="46" fillId="10" borderId="0" xfId="0" applyFont="1" applyFill="1" applyAlignment="1">
      <alignment horizontal="center" vertical="center"/>
    </xf>
    <xf numFmtId="0" fontId="46" fillId="0" borderId="74" xfId="0" applyFont="1" applyBorder="1" applyAlignment="1">
      <alignment horizontal="center" vertical="center"/>
    </xf>
    <xf numFmtId="0" fontId="116" fillId="4" borderId="0" xfId="7" applyFont="1" applyFill="1" applyAlignment="1">
      <alignment horizontal="center" vertical="center"/>
    </xf>
    <xf numFmtId="0" fontId="72" fillId="10" borderId="125" xfId="0" applyFont="1" applyFill="1" applyBorder="1" applyAlignment="1">
      <alignment vertical="center"/>
    </xf>
    <xf numFmtId="0" fontId="72" fillId="10" borderId="0" xfId="0" applyFont="1" applyFill="1" applyAlignment="1">
      <alignment vertical="center"/>
    </xf>
    <xf numFmtId="0" fontId="72" fillId="10" borderId="126" xfId="0" applyFont="1" applyFill="1" applyBorder="1" applyAlignment="1">
      <alignment vertical="center"/>
    </xf>
    <xf numFmtId="0" fontId="72" fillId="0" borderId="98" xfId="0" applyFont="1" applyBorder="1" applyAlignment="1">
      <alignment vertical="center"/>
    </xf>
    <xf numFmtId="0" fontId="72" fillId="0" borderId="122" xfId="0" applyFont="1" applyBorder="1" applyAlignment="1">
      <alignment vertical="center"/>
    </xf>
    <xf numFmtId="0" fontId="72" fillId="0" borderId="110" xfId="0" applyFont="1" applyBorder="1" applyAlignment="1">
      <alignment vertical="center"/>
    </xf>
    <xf numFmtId="0" fontId="72" fillId="4" borderId="125" xfId="0" applyFont="1" applyFill="1" applyBorder="1" applyAlignment="1">
      <alignment vertical="center"/>
    </xf>
    <xf numFmtId="0" fontId="72" fillId="4" borderId="126" xfId="0" applyFont="1" applyFill="1" applyBorder="1" applyAlignment="1">
      <alignment vertical="center"/>
    </xf>
    <xf numFmtId="0" fontId="76" fillId="0" borderId="98" xfId="10" applyFont="1" applyFill="1" applyBorder="1" applyAlignment="1">
      <alignment vertical="center"/>
    </xf>
    <xf numFmtId="0" fontId="74" fillId="26" borderId="98" xfId="0" applyFont="1" applyFill="1" applyBorder="1" applyAlignment="1">
      <alignment vertical="center"/>
    </xf>
    <xf numFmtId="0" fontId="68" fillId="21" borderId="98" xfId="10" applyBorder="1" applyAlignment="1">
      <alignment vertical="center"/>
    </xf>
    <xf numFmtId="0" fontId="76" fillId="0" borderId="98" xfId="10" applyFont="1" applyFill="1" applyBorder="1" applyAlignment="1">
      <alignment vertical="center" wrapText="1"/>
    </xf>
    <xf numFmtId="0" fontId="72" fillId="0" borderId="99" xfId="0" applyFont="1" applyBorder="1" applyAlignment="1">
      <alignment vertical="center"/>
    </xf>
    <xf numFmtId="0" fontId="72" fillId="0" borderId="102" xfId="0" applyFont="1" applyBorder="1" applyAlignment="1">
      <alignment vertical="center"/>
    </xf>
    <xf numFmtId="0" fontId="72" fillId="0" borderId="101" xfId="0" applyFont="1" applyBorder="1" applyAlignment="1">
      <alignment vertical="center"/>
    </xf>
    <xf numFmtId="0" fontId="74" fillId="26" borderId="92" xfId="0" applyFont="1" applyFill="1" applyBorder="1" applyAlignment="1">
      <alignment vertical="center"/>
    </xf>
    <xf numFmtId="0" fontId="68" fillId="21" borderId="99" xfId="10" applyBorder="1" applyAlignment="1">
      <alignment vertical="center" wrapText="1"/>
    </xf>
    <xf numFmtId="0" fontId="68" fillId="21" borderId="102" xfId="10" applyBorder="1" applyAlignment="1">
      <alignment vertical="center" wrapText="1"/>
    </xf>
    <xf numFmtId="0" fontId="68" fillId="21" borderId="101" xfId="10" applyBorder="1" applyAlignment="1">
      <alignment vertical="center" wrapText="1"/>
    </xf>
    <xf numFmtId="0" fontId="74" fillId="26" borderId="99" xfId="0" applyFont="1" applyFill="1" applyBorder="1" applyAlignment="1">
      <alignment vertical="center"/>
    </xf>
    <xf numFmtId="0" fontId="74" fillId="26" borderId="102" xfId="0" applyFont="1" applyFill="1" applyBorder="1" applyAlignment="1">
      <alignment vertical="center"/>
    </xf>
    <xf numFmtId="0" fontId="74" fillId="26" borderId="101" xfId="0" applyFont="1" applyFill="1" applyBorder="1" applyAlignment="1">
      <alignment vertical="center"/>
    </xf>
    <xf numFmtId="0" fontId="68" fillId="21" borderId="99" xfId="10" applyBorder="1" applyAlignment="1">
      <alignment vertical="center"/>
    </xf>
    <xf numFmtId="0" fontId="68" fillId="21" borderId="102" xfId="10" applyBorder="1" applyAlignment="1">
      <alignment vertical="center"/>
    </xf>
    <xf numFmtId="0" fontId="68" fillId="21" borderId="101" xfId="10" applyBorder="1" applyAlignment="1">
      <alignment vertical="center"/>
    </xf>
    <xf numFmtId="0" fontId="74" fillId="26" borderId="104" xfId="0" applyFont="1" applyFill="1" applyBorder="1" applyAlignment="1">
      <alignment vertical="center"/>
    </xf>
    <xf numFmtId="0" fontId="72" fillId="0" borderId="103" xfId="0" applyFont="1" applyBorder="1" applyAlignment="1">
      <alignment vertical="center"/>
    </xf>
    <xf numFmtId="0" fontId="72" fillId="0" borderId="111" xfId="0" applyFont="1" applyBorder="1" applyAlignment="1">
      <alignment vertical="center"/>
    </xf>
    <xf numFmtId="0" fontId="74" fillId="26" borderId="93" xfId="0" applyFont="1" applyFill="1" applyBorder="1" applyAlignment="1">
      <alignment vertical="center"/>
    </xf>
    <xf numFmtId="0" fontId="74" fillId="26" borderId="103" xfId="0" applyFont="1" applyFill="1" applyBorder="1" applyAlignment="1">
      <alignment vertical="center"/>
    </xf>
    <xf numFmtId="0" fontId="74" fillId="8" borderId="99" xfId="0" applyFont="1" applyFill="1" applyBorder="1" applyAlignment="1">
      <alignment vertical="center"/>
    </xf>
    <xf numFmtId="0" fontId="74" fillId="8" borderId="102" xfId="0" applyFont="1" applyFill="1" applyBorder="1" applyAlignment="1">
      <alignment vertical="center"/>
    </xf>
    <xf numFmtId="0" fontId="74" fillId="8" borderId="103" xfId="0" applyFont="1" applyFill="1" applyBorder="1" applyAlignment="1">
      <alignment vertical="center"/>
    </xf>
    <xf numFmtId="0" fontId="68" fillId="21" borderId="103" xfId="10" applyBorder="1" applyAlignment="1">
      <alignment vertical="center"/>
    </xf>
    <xf numFmtId="0" fontId="76" fillId="0" borderId="99" xfId="10" applyFont="1" applyFill="1" applyBorder="1" applyAlignment="1">
      <alignment vertical="center"/>
    </xf>
    <xf numFmtId="0" fontId="76" fillId="0" borderId="102" xfId="10" applyFont="1" applyFill="1" applyBorder="1" applyAlignment="1">
      <alignment vertical="center"/>
    </xf>
    <xf numFmtId="0" fontId="76" fillId="0" borderId="103" xfId="10" applyFont="1" applyFill="1" applyBorder="1" applyAlignment="1">
      <alignment vertical="center"/>
    </xf>
    <xf numFmtId="0" fontId="76" fillId="2" borderId="98" xfId="9" applyFont="1" applyFill="1" applyBorder="1" applyAlignment="1">
      <alignment vertical="center"/>
    </xf>
    <xf numFmtId="0" fontId="76" fillId="2" borderId="99" xfId="9" applyFont="1" applyFill="1" applyBorder="1" applyAlignment="1">
      <alignment vertical="center"/>
    </xf>
    <xf numFmtId="0" fontId="73" fillId="4" borderId="0" xfId="7" applyFont="1" applyFill="1" applyAlignment="1">
      <alignment vertical="center"/>
    </xf>
    <xf numFmtId="0" fontId="74" fillId="4" borderId="79" xfId="0" applyFont="1" applyFill="1" applyBorder="1" applyAlignment="1">
      <alignment vertical="center"/>
    </xf>
    <xf numFmtId="0" fontId="74" fillId="4" borderId="86" xfId="0" applyFont="1" applyFill="1" applyBorder="1" applyAlignment="1">
      <alignment vertical="center"/>
    </xf>
    <xf numFmtId="0" fontId="74" fillId="4" borderId="80" xfId="0" applyFont="1" applyFill="1" applyBorder="1" applyAlignment="1">
      <alignment vertical="center"/>
    </xf>
    <xf numFmtId="0" fontId="74" fillId="4" borderId="81" xfId="0" applyFont="1" applyFill="1" applyBorder="1" applyAlignment="1">
      <alignment vertical="center"/>
    </xf>
    <xf numFmtId="0" fontId="74" fillId="4" borderId="41" xfId="0" applyFont="1" applyFill="1" applyBorder="1" applyAlignment="1">
      <alignment vertical="center"/>
    </xf>
    <xf numFmtId="0" fontId="74" fillId="4" borderId="0" xfId="0" applyFont="1" applyFill="1" applyAlignment="1">
      <alignment vertical="center"/>
    </xf>
    <xf numFmtId="0" fontId="74" fillId="4" borderId="82" xfId="0" applyFont="1" applyFill="1" applyBorder="1" applyAlignment="1">
      <alignment vertical="center"/>
    </xf>
    <xf numFmtId="0" fontId="74" fillId="4" borderId="83" xfId="0" applyFont="1" applyFill="1" applyBorder="1" applyAlignment="1">
      <alignment vertical="center"/>
    </xf>
    <xf numFmtId="0" fontId="74" fillId="4" borderId="84" xfId="0" applyFont="1" applyFill="1" applyBorder="1" applyAlignment="1">
      <alignment vertical="center"/>
    </xf>
    <xf numFmtId="0" fontId="74" fillId="4" borderId="85" xfId="0" applyFont="1" applyFill="1" applyBorder="1" applyAlignment="1">
      <alignment vertical="center"/>
    </xf>
    <xf numFmtId="0" fontId="74" fillId="4" borderId="90" xfId="0" applyFont="1" applyFill="1" applyBorder="1" applyAlignment="1">
      <alignment vertical="center"/>
    </xf>
    <xf numFmtId="0" fontId="0" fillId="0" borderId="0" xfId="0" applyAlignment="1">
      <alignment horizontal="left"/>
    </xf>
    <xf numFmtId="0" fontId="56" fillId="19" borderId="3" xfId="1" applyFont="1" applyFill="1" applyBorder="1" applyAlignment="1">
      <alignment horizontal="left" vertical="center"/>
    </xf>
    <xf numFmtId="0" fontId="118" fillId="0" borderId="0" xfId="14"/>
    <xf numFmtId="0" fontId="0" fillId="7" borderId="0" xfId="0" applyFill="1"/>
    <xf numFmtId="0" fontId="0" fillId="39" borderId="0" xfId="0" applyFill="1"/>
    <xf numFmtId="0" fontId="0" fillId="27" borderId="0" xfId="0" applyFill="1"/>
    <xf numFmtId="0" fontId="0" fillId="40" borderId="0" xfId="0" applyFill="1"/>
    <xf numFmtId="10" fontId="0" fillId="0" borderId="0" xfId="0" applyNumberFormat="1"/>
    <xf numFmtId="9" fontId="0" fillId="0" borderId="0" xfId="0" applyNumberFormat="1"/>
    <xf numFmtId="0" fontId="0" fillId="2" borderId="0" xfId="0" applyFill="1"/>
    <xf numFmtId="0" fontId="0" fillId="31" borderId="0" xfId="0" applyFill="1"/>
    <xf numFmtId="0" fontId="0" fillId="41" borderId="0" xfId="0" applyFill="1"/>
    <xf numFmtId="0" fontId="0" fillId="37" borderId="0" xfId="0" applyFill="1"/>
    <xf numFmtId="0" fontId="0" fillId="23" borderId="0" xfId="0" applyFill="1"/>
    <xf numFmtId="0" fontId="0" fillId="39" borderId="0" xfId="0" applyFill="1" applyAlignment="1">
      <alignment wrapText="1"/>
    </xf>
    <xf numFmtId="0" fontId="0" fillId="40" borderId="0" xfId="0" applyFill="1" applyAlignment="1">
      <alignment wrapText="1"/>
    </xf>
    <xf numFmtId="0" fontId="83" fillId="4" borderId="0" xfId="0" applyFont="1" applyFill="1" applyAlignment="1">
      <alignment vertical="top"/>
    </xf>
    <xf numFmtId="0" fontId="84" fillId="4" borderId="0" xfId="0" applyFont="1" applyFill="1" applyAlignment="1">
      <alignment vertical="top"/>
    </xf>
    <xf numFmtId="0" fontId="83" fillId="4" borderId="58" xfId="0" applyFont="1" applyFill="1" applyBorder="1" applyAlignment="1">
      <alignment vertical="top"/>
    </xf>
    <xf numFmtId="0" fontId="7" fillId="0" borderId="0" xfId="0" applyFont="1"/>
    <xf numFmtId="0" fontId="19" fillId="4" borderId="4" xfId="1" applyFont="1" applyFill="1" applyBorder="1" applyAlignment="1">
      <alignment vertical="center"/>
    </xf>
    <xf numFmtId="0" fontId="19" fillId="4" borderId="16" xfId="1" applyFont="1" applyFill="1" applyBorder="1" applyAlignment="1">
      <alignment horizontal="center" vertical="center"/>
    </xf>
    <xf numFmtId="0" fontId="44" fillId="0" borderId="3" xfId="0" applyFont="1" applyBorder="1" applyAlignment="1">
      <alignment horizontal="center" vertical="center"/>
    </xf>
    <xf numFmtId="0" fontId="47" fillId="15" borderId="0" xfId="0" applyFont="1" applyFill="1" applyAlignment="1">
      <alignment vertical="center"/>
    </xf>
    <xf numFmtId="0" fontId="7" fillId="15" borderId="0" xfId="0" applyFont="1" applyFill="1" applyAlignment="1">
      <alignment vertical="center"/>
    </xf>
    <xf numFmtId="0" fontId="7" fillId="0" borderId="191" xfId="0" applyFont="1" applyBorder="1" applyAlignment="1">
      <alignment vertical="center"/>
    </xf>
    <xf numFmtId="0" fontId="7" fillId="0" borderId="192" xfId="0" applyFont="1" applyBorder="1" applyAlignment="1">
      <alignment vertical="center"/>
    </xf>
    <xf numFmtId="0" fontId="7" fillId="0" borderId="193" xfId="0" applyFont="1" applyBorder="1" applyAlignment="1">
      <alignment vertical="center"/>
    </xf>
    <xf numFmtId="0" fontId="7" fillId="0" borderId="194" xfId="0" applyFont="1" applyBorder="1" applyAlignment="1">
      <alignment vertical="center"/>
    </xf>
    <xf numFmtId="0" fontId="7" fillId="0" borderId="195" xfId="0" applyFont="1" applyBorder="1" applyAlignment="1">
      <alignment vertical="center"/>
    </xf>
    <xf numFmtId="0" fontId="7" fillId="0" borderId="196" xfId="0" applyFont="1" applyBorder="1" applyAlignment="1">
      <alignment vertical="center"/>
    </xf>
    <xf numFmtId="0" fontId="7" fillId="0" borderId="197" xfId="0" applyFont="1" applyBorder="1" applyAlignment="1">
      <alignment vertical="center"/>
    </xf>
    <xf numFmtId="0" fontId="7" fillId="0" borderId="198" xfId="0" applyFont="1" applyBorder="1" applyAlignment="1">
      <alignment vertical="center"/>
    </xf>
    <xf numFmtId="0" fontId="12" fillId="0" borderId="199" xfId="0" applyFont="1" applyBorder="1" applyAlignment="1">
      <alignment vertical="center" wrapText="1"/>
    </xf>
    <xf numFmtId="0" fontId="7" fillId="2" borderId="29" xfId="0" applyFont="1" applyFill="1" applyBorder="1" applyAlignment="1">
      <alignment horizontal="center" vertical="center"/>
    </xf>
    <xf numFmtId="0" fontId="53" fillId="4" borderId="50" xfId="0" applyFont="1" applyFill="1" applyBorder="1" applyAlignment="1">
      <alignment horizontal="center" vertical="center" wrapText="1"/>
    </xf>
    <xf numFmtId="0" fontId="30" fillId="4" borderId="48" xfId="0" applyFont="1" applyFill="1" applyBorder="1" applyAlignment="1">
      <alignment horizontal="center" vertical="center" wrapText="1"/>
    </xf>
    <xf numFmtId="0" fontId="53" fillId="4" borderId="48" xfId="0" applyFont="1" applyFill="1" applyBorder="1" applyAlignment="1">
      <alignment horizontal="center" vertical="center" wrapText="1"/>
    </xf>
    <xf numFmtId="0" fontId="12" fillId="0" borderId="29" xfId="0" applyFont="1" applyBorder="1" applyAlignment="1">
      <alignment vertical="center"/>
    </xf>
    <xf numFmtId="10" fontId="14" fillId="2" borderId="29" xfId="2" applyNumberFormat="1" applyFont="1" applyFill="1" applyBorder="1" applyAlignment="1">
      <alignment horizontal="center" vertical="center" wrapText="1"/>
    </xf>
    <xf numFmtId="0" fontId="12" fillId="4" borderId="34" xfId="0" applyFont="1" applyFill="1" applyBorder="1" applyAlignment="1">
      <alignment horizontal="center" vertical="center" wrapText="1"/>
    </xf>
    <xf numFmtId="0" fontId="12" fillId="4" borderId="21" xfId="0" applyFont="1" applyFill="1" applyBorder="1" applyAlignment="1">
      <alignment horizontal="center" vertical="center"/>
    </xf>
    <xf numFmtId="0" fontId="12" fillId="4" borderId="18" xfId="0" applyFont="1" applyFill="1" applyBorder="1" applyAlignment="1">
      <alignment horizontal="center" vertical="center"/>
    </xf>
    <xf numFmtId="0" fontId="12" fillId="0" borderId="19" xfId="0" applyFont="1" applyBorder="1" applyAlignment="1">
      <alignment vertical="center"/>
    </xf>
    <xf numFmtId="0" fontId="12" fillId="0" borderId="19" xfId="0" applyFont="1" applyBorder="1" applyAlignment="1">
      <alignment horizontal="center" vertical="center"/>
    </xf>
    <xf numFmtId="0" fontId="19" fillId="10" borderId="12" xfId="1" applyFont="1" applyFill="1" applyBorder="1" applyAlignment="1">
      <alignment horizontal="center" vertical="center"/>
    </xf>
    <xf numFmtId="0" fontId="12" fillId="0" borderId="7" xfId="0" applyFont="1" applyBorder="1" applyAlignment="1">
      <alignment vertical="center"/>
    </xf>
    <xf numFmtId="0" fontId="12" fillId="0" borderId="6" xfId="0" applyFont="1" applyBorder="1" applyAlignment="1">
      <alignment vertical="center"/>
    </xf>
    <xf numFmtId="0" fontId="30" fillId="19" borderId="29" xfId="0" applyFont="1" applyFill="1" applyBorder="1" applyAlignment="1">
      <alignment horizontal="center" vertical="center" wrapText="1"/>
    </xf>
    <xf numFmtId="0" fontId="14" fillId="19" borderId="29" xfId="0" applyFont="1" applyFill="1" applyBorder="1" applyAlignment="1">
      <alignment horizontal="center" vertical="center" wrapText="1"/>
    </xf>
    <xf numFmtId="9" fontId="14" fillId="19" borderId="29" xfId="2" applyFont="1" applyFill="1" applyBorder="1" applyAlignment="1">
      <alignment horizontal="center" vertical="center" wrapText="1"/>
    </xf>
    <xf numFmtId="9" fontId="7" fillId="19" borderId="29" xfId="0" applyNumberFormat="1" applyFont="1" applyFill="1" applyBorder="1" applyAlignment="1">
      <alignment vertical="center"/>
    </xf>
    <xf numFmtId="0" fontId="30" fillId="19" borderId="14" xfId="0" applyFont="1" applyFill="1" applyBorder="1" applyAlignment="1">
      <alignment horizontal="center" vertical="center" wrapText="1"/>
    </xf>
    <xf numFmtId="166" fontId="7" fillId="19" borderId="14" xfId="3" applyNumberFormat="1" applyFont="1" applyFill="1" applyBorder="1" applyAlignment="1">
      <alignment vertical="center"/>
    </xf>
    <xf numFmtId="166" fontId="14" fillId="19" borderId="14" xfId="3" applyNumberFormat="1" applyFont="1" applyFill="1" applyBorder="1" applyAlignment="1">
      <alignment horizontal="center" vertical="center" wrapText="1"/>
    </xf>
    <xf numFmtId="0" fontId="1" fillId="19" borderId="14" xfId="0" applyFont="1" applyFill="1" applyBorder="1" applyAlignment="1">
      <alignment horizontal="center" vertical="center" wrapText="1"/>
    </xf>
    <xf numFmtId="0" fontId="14" fillId="19" borderId="14" xfId="0" applyFont="1" applyFill="1" applyBorder="1" applyAlignment="1">
      <alignment horizontal="center" vertical="center"/>
    </xf>
    <xf numFmtId="0" fontId="7" fillId="19" borderId="14" xfId="0" applyFont="1" applyFill="1" applyBorder="1" applyAlignment="1">
      <alignment horizontal="center" vertical="center"/>
    </xf>
    <xf numFmtId="0" fontId="12" fillId="19" borderId="14" xfId="0" applyFont="1" applyFill="1" applyBorder="1" applyAlignment="1">
      <alignment vertical="center"/>
    </xf>
    <xf numFmtId="166" fontId="7" fillId="19" borderId="14" xfId="3" applyNumberFormat="1" applyFont="1" applyFill="1" applyBorder="1" applyAlignment="1">
      <alignment horizontal="center" vertical="center" wrapText="1"/>
    </xf>
    <xf numFmtId="0" fontId="12" fillId="19" borderId="19" xfId="0" applyFont="1" applyFill="1" applyBorder="1" applyAlignment="1">
      <alignment vertical="center"/>
    </xf>
    <xf numFmtId="166" fontId="7" fillId="19" borderId="19" xfId="3" applyNumberFormat="1" applyFont="1" applyFill="1" applyBorder="1" applyAlignment="1">
      <alignment horizontal="center" vertical="center" wrapText="1"/>
    </xf>
    <xf numFmtId="164" fontId="12" fillId="0" borderId="45" xfId="3" applyFont="1" applyFill="1" applyBorder="1" applyAlignment="1">
      <alignment vertical="center" wrapText="1"/>
    </xf>
    <xf numFmtId="0" fontId="12" fillId="19" borderId="29" xfId="0" applyFont="1" applyFill="1" applyBorder="1" applyAlignment="1">
      <alignment horizontal="center" vertical="center" wrapText="1"/>
    </xf>
    <xf numFmtId="0" fontId="60" fillId="18" borderId="4" xfId="1" applyFont="1" applyFill="1" applyBorder="1" applyAlignment="1">
      <alignment vertical="center"/>
    </xf>
    <xf numFmtId="0" fontId="60" fillId="18" borderId="3" xfId="1" applyFont="1" applyFill="1" applyBorder="1" applyAlignment="1">
      <alignment vertical="center"/>
    </xf>
    <xf numFmtId="0" fontId="60" fillId="18" borderId="5" xfId="1" applyFont="1" applyFill="1" applyBorder="1" applyAlignment="1">
      <alignment vertical="center"/>
    </xf>
    <xf numFmtId="10" fontId="81" fillId="10" borderId="0" xfId="2" applyNumberFormat="1" applyFont="1" applyFill="1" applyAlignment="1">
      <alignment horizontal="center" vertical="center"/>
    </xf>
    <xf numFmtId="0" fontId="44" fillId="0" borderId="0" xfId="0" applyFont="1"/>
    <xf numFmtId="0" fontId="120" fillId="4" borderId="0" xfId="0" applyFont="1" applyFill="1" applyAlignment="1">
      <alignment vertical="top"/>
    </xf>
    <xf numFmtId="0" fontId="78" fillId="4" borderId="0" xfId="0" applyFont="1" applyFill="1" applyAlignment="1">
      <alignment horizontal="left"/>
    </xf>
    <xf numFmtId="0" fontId="23" fillId="0" borderId="0" xfId="0" applyFont="1" applyAlignment="1">
      <alignment vertical="center" wrapText="1"/>
    </xf>
    <xf numFmtId="0" fontId="23" fillId="0" borderId="41" xfId="0" applyFont="1" applyBorder="1" applyAlignment="1">
      <alignment vertical="center"/>
    </xf>
    <xf numFmtId="0" fontId="29" fillId="16" borderId="0" xfId="0" applyFont="1" applyFill="1" applyAlignment="1">
      <alignment vertical="center" wrapText="1"/>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16" fontId="0" fillId="0" borderId="0" xfId="0" applyNumberFormat="1"/>
    <xf numFmtId="0" fontId="72" fillId="0" borderId="164" xfId="0" applyFont="1" applyBorder="1" applyAlignment="1">
      <alignment horizontal="left" vertical="center" wrapText="1"/>
    </xf>
    <xf numFmtId="0" fontId="72" fillId="0" borderId="165" xfId="0" applyFont="1" applyBorder="1" applyAlignment="1">
      <alignment horizontal="left" vertical="center" wrapText="1"/>
    </xf>
    <xf numFmtId="0" fontId="91" fillId="4" borderId="164" xfId="13" applyFont="1" applyFill="1" applyBorder="1" applyAlignment="1">
      <alignment horizontal="center" vertical="center" wrapText="1"/>
    </xf>
    <xf numFmtId="0" fontId="72" fillId="2" borderId="164" xfId="0" applyFont="1" applyFill="1" applyBorder="1" applyAlignment="1">
      <alignment horizontal="left" vertical="center" wrapText="1"/>
    </xf>
    <xf numFmtId="0" fontId="72" fillId="0" borderId="165" xfId="0" applyFont="1" applyBorder="1" applyAlignment="1">
      <alignment horizontal="center" vertical="center" wrapText="1"/>
    </xf>
    <xf numFmtId="0" fontId="72" fillId="2" borderId="164" xfId="8" applyFont="1" applyFill="1" applyBorder="1" applyAlignment="1">
      <alignment horizontal="left" vertical="center" wrapText="1"/>
    </xf>
    <xf numFmtId="0" fontId="72" fillId="0" borderId="164" xfId="0" applyFont="1" applyBorder="1" applyAlignment="1">
      <alignment horizontal="left" vertical="center"/>
    </xf>
    <xf numFmtId="0" fontId="72" fillId="0" borderId="167" xfId="0" applyFont="1" applyBorder="1" applyAlignment="1">
      <alignment horizontal="left" vertical="center" wrapText="1"/>
    </xf>
    <xf numFmtId="0" fontId="72" fillId="0" borderId="164" xfId="8" applyFont="1" applyBorder="1" applyAlignment="1">
      <alignment horizontal="left" vertical="center" wrapText="1"/>
    </xf>
    <xf numFmtId="0" fontId="72" fillId="0" borderId="176" xfId="0" applyFont="1" applyBorder="1" applyAlignment="1">
      <alignment horizontal="left" vertical="center" wrapText="1"/>
    </xf>
    <xf numFmtId="0" fontId="93" fillId="0" borderId="164" xfId="0" applyFont="1" applyBorder="1" applyAlignment="1">
      <alignment horizontal="left" vertical="center" wrapText="1"/>
    </xf>
    <xf numFmtId="0" fontId="93" fillId="0" borderId="164" xfId="0" applyFont="1" applyBorder="1" applyAlignment="1">
      <alignment vertical="center" wrapText="1"/>
    </xf>
    <xf numFmtId="0" fontId="78" fillId="0" borderId="164" xfId="0" applyFont="1" applyBorder="1" applyAlignment="1">
      <alignment horizontal="left" vertical="center" wrapText="1"/>
    </xf>
    <xf numFmtId="0" fontId="93" fillId="0" borderId="164" xfId="0" applyFont="1" applyBorder="1" applyAlignment="1">
      <alignment horizontal="left" vertical="center"/>
    </xf>
    <xf numFmtId="0" fontId="14" fillId="0" borderId="164" xfId="0" applyFont="1" applyBorder="1" applyAlignment="1">
      <alignment horizontal="left" vertical="center" wrapText="1"/>
    </xf>
    <xf numFmtId="0" fontId="74" fillId="4" borderId="0" xfId="0" applyFont="1" applyFill="1" applyAlignment="1">
      <alignment horizontal="center" vertical="center"/>
    </xf>
    <xf numFmtId="0" fontId="72" fillId="0" borderId="99" xfId="0" applyFont="1" applyBorder="1" applyAlignment="1">
      <alignment horizontal="left" vertical="center"/>
    </xf>
    <xf numFmtId="0" fontId="74" fillId="26" borderId="99" xfId="0" applyFont="1" applyFill="1" applyBorder="1" applyAlignment="1">
      <alignment horizontal="left" vertical="center"/>
    </xf>
    <xf numFmtId="0" fontId="72" fillId="0" borderId="102" xfId="0" applyFont="1" applyBorder="1" applyAlignment="1">
      <alignment horizontal="left" vertical="center"/>
    </xf>
    <xf numFmtId="0" fontId="72" fillId="0" borderId="103" xfId="0" applyFont="1" applyBorder="1" applyAlignment="1">
      <alignment horizontal="left" vertical="center"/>
    </xf>
    <xf numFmtId="0" fontId="72" fillId="0" borderId="99" xfId="0" applyFont="1" applyBorder="1" applyAlignment="1">
      <alignment vertical="center" wrapText="1"/>
    </xf>
    <xf numFmtId="0" fontId="72" fillId="0" borderId="101" xfId="0" applyFont="1" applyBorder="1" applyAlignment="1">
      <alignment horizontal="left" vertical="center"/>
    </xf>
    <xf numFmtId="0" fontId="72" fillId="0" borderId="98" xfId="0" applyFont="1" applyBorder="1" applyAlignment="1">
      <alignment vertical="center" wrapText="1"/>
    </xf>
    <xf numFmtId="0" fontId="74" fillId="26" borderId="102" xfId="0" applyFont="1" applyFill="1" applyBorder="1" applyAlignment="1">
      <alignment horizontal="left" vertical="center"/>
    </xf>
    <xf numFmtId="0" fontId="72" fillId="0" borderId="176" xfId="0" applyFont="1" applyBorder="1" applyAlignment="1" applyProtection="1">
      <alignment horizontal="left" vertical="center" wrapText="1"/>
      <protection locked="0"/>
    </xf>
    <xf numFmtId="0" fontId="7" fillId="0" borderId="3" xfId="0" applyFont="1" applyBorder="1" applyAlignment="1">
      <alignment horizontal="center" vertical="center"/>
    </xf>
    <xf numFmtId="0" fontId="7" fillId="0" borderId="11" xfId="0" applyFont="1" applyBorder="1" applyAlignment="1">
      <alignment horizontal="center" vertical="center"/>
    </xf>
    <xf numFmtId="0" fontId="7" fillId="0" borderId="1" xfId="0" applyFont="1" applyBorder="1" applyAlignment="1">
      <alignment horizontal="center" vertical="center"/>
    </xf>
    <xf numFmtId="0" fontId="7" fillId="0" borderId="10"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vertical="center"/>
    </xf>
    <xf numFmtId="0" fontId="12" fillId="0" borderId="4" xfId="0" applyFont="1" applyBorder="1" applyAlignment="1">
      <alignment horizontal="left" vertical="center"/>
    </xf>
    <xf numFmtId="0" fontId="31" fillId="5" borderId="4" xfId="1" applyFont="1" applyFill="1" applyBorder="1" applyAlignment="1">
      <alignment horizontal="left" vertical="center"/>
    </xf>
    <xf numFmtId="0" fontId="12" fillId="4" borderId="11" xfId="0" applyFont="1" applyFill="1" applyBorder="1" applyAlignment="1">
      <alignment horizontal="left" vertical="center" wrapText="1"/>
    </xf>
    <xf numFmtId="0" fontId="33" fillId="0" borderId="0" xfId="0" applyFont="1" applyAlignment="1">
      <alignment horizontal="center" vertical="center"/>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4" fillId="0" borderId="0" xfId="0" applyFont="1" applyAlignment="1">
      <alignment horizontal="left" vertical="top" wrapText="1"/>
    </xf>
    <xf numFmtId="0" fontId="60" fillId="0" borderId="4" xfId="1" applyFont="1" applyBorder="1" applyAlignment="1">
      <alignment horizontal="center" vertical="center" wrapText="1"/>
    </xf>
    <xf numFmtId="0" fontId="60" fillId="0" borderId="3" xfId="1" applyFont="1" applyBorder="1" applyAlignment="1">
      <alignment horizontal="center" vertical="center" wrapText="1"/>
    </xf>
    <xf numFmtId="0" fontId="60" fillId="0" borderId="5" xfId="1" applyFont="1" applyBorder="1" applyAlignment="1">
      <alignment horizontal="center" vertical="center" wrapText="1"/>
    </xf>
    <xf numFmtId="0" fontId="19" fillId="7" borderId="1" xfId="0" applyFont="1" applyFill="1" applyBorder="1" applyAlignment="1">
      <alignment horizontal="center" vertical="center" wrapText="1"/>
    </xf>
    <xf numFmtId="0" fontId="42" fillId="0" borderId="16" xfId="0" applyFont="1" applyBorder="1" applyAlignment="1">
      <alignment horizontal="center" vertical="center" wrapText="1"/>
    </xf>
    <xf numFmtId="0" fontId="19" fillId="7" borderId="48" xfId="0" applyFont="1" applyFill="1" applyBorder="1" applyAlignment="1">
      <alignment horizontal="center" vertical="center" wrapText="1"/>
    </xf>
    <xf numFmtId="0" fontId="122" fillId="0" borderId="14" xfId="0" applyFont="1" applyBorder="1" applyAlignment="1">
      <alignment vertical="center" wrapText="1"/>
    </xf>
    <xf numFmtId="0" fontId="122" fillId="0" borderId="14" xfId="0" applyFont="1" applyBorder="1" applyAlignment="1">
      <alignment horizontal="center" vertical="center" wrapText="1"/>
    </xf>
    <xf numFmtId="0" fontId="51" fillId="0" borderId="14" xfId="0" applyFont="1" applyBorder="1" applyAlignment="1">
      <alignment horizontal="center" vertical="center" wrapText="1"/>
    </xf>
    <xf numFmtId="0" fontId="51" fillId="0" borderId="14" xfId="0" applyFont="1" applyBorder="1" applyAlignment="1">
      <alignment vertical="center" wrapText="1"/>
    </xf>
    <xf numFmtId="0" fontId="123" fillId="0" borderId="154" xfId="0" applyFont="1" applyBorder="1" applyAlignment="1">
      <alignment horizontal="center" vertical="center" wrapText="1" readingOrder="1"/>
    </xf>
    <xf numFmtId="0" fontId="0" fillId="31" borderId="0" xfId="0" applyFill="1" applyAlignment="1">
      <alignment wrapText="1"/>
    </xf>
    <xf numFmtId="0" fontId="0" fillId="15" borderId="0" xfId="0" applyFill="1" applyAlignment="1">
      <alignment wrapText="1"/>
    </xf>
    <xf numFmtId="0" fontId="124" fillId="0" borderId="0" xfId="0" applyFont="1" applyAlignment="1">
      <alignment vertical="center"/>
    </xf>
    <xf numFmtId="0" fontId="125" fillId="0" borderId="0" xfId="0" applyFont="1"/>
    <xf numFmtId="0" fontId="0" fillId="42" borderId="0" xfId="0" applyFill="1" applyAlignment="1">
      <alignment wrapText="1"/>
    </xf>
    <xf numFmtId="0" fontId="0" fillId="42" borderId="0" xfId="0" applyFill="1"/>
    <xf numFmtId="0" fontId="12" fillId="0" borderId="55" xfId="0" applyFont="1" applyBorder="1" applyAlignment="1">
      <alignment horizontal="center" vertical="center"/>
    </xf>
    <xf numFmtId="0" fontId="7" fillId="0" borderId="0" xfId="0" applyFont="1" applyAlignment="1">
      <alignment horizontal="left" vertical="center" wrapText="1"/>
    </xf>
    <xf numFmtId="0" fontId="12" fillId="0" borderId="206" xfId="0" applyFont="1" applyBorder="1" applyAlignment="1">
      <alignment vertical="center"/>
    </xf>
    <xf numFmtId="0" fontId="12" fillId="0" borderId="206" xfId="0" applyFont="1" applyBorder="1" applyAlignment="1">
      <alignment vertical="center" wrapText="1"/>
    </xf>
    <xf numFmtId="10" fontId="0" fillId="0" borderId="0" xfId="2" applyNumberFormat="1" applyFont="1"/>
    <xf numFmtId="0" fontId="25" fillId="43" borderId="14" xfId="0" applyFont="1" applyFill="1" applyBorder="1" applyAlignment="1">
      <alignment horizontal="center" vertical="center" wrapText="1"/>
    </xf>
    <xf numFmtId="10" fontId="0" fillId="15" borderId="0" xfId="0" applyNumberFormat="1" applyFill="1" applyAlignment="1">
      <alignment vertical="center"/>
    </xf>
    <xf numFmtId="9" fontId="72" fillId="38" borderId="176" xfId="2" applyFont="1" applyFill="1" applyBorder="1" applyAlignment="1" applyProtection="1">
      <alignment horizontal="center" vertical="center" wrapText="1"/>
      <protection locked="0"/>
    </xf>
    <xf numFmtId="10" fontId="4" fillId="2" borderId="29" xfId="2" applyNumberFormat="1" applyFont="1" applyFill="1" applyBorder="1" applyAlignment="1">
      <alignment horizontal="center" vertical="center"/>
    </xf>
    <xf numFmtId="10" fontId="4" fillId="0" borderId="19" xfId="2" applyNumberFormat="1" applyFont="1" applyFill="1" applyBorder="1" applyAlignment="1">
      <alignment horizontal="center" vertical="center"/>
    </xf>
    <xf numFmtId="10" fontId="0" fillId="0" borderId="0" xfId="0" applyNumberFormat="1" applyAlignment="1">
      <alignment vertical="center"/>
    </xf>
    <xf numFmtId="0" fontId="0" fillId="0" borderId="0" xfId="0" applyAlignment="1">
      <alignment horizontal="left" vertical="center"/>
    </xf>
    <xf numFmtId="10" fontId="0" fillId="0" borderId="0" xfId="2" applyNumberFormat="1" applyFont="1" applyAlignment="1">
      <alignment vertical="center"/>
    </xf>
    <xf numFmtId="3" fontId="126" fillId="0" borderId="0" xfId="15" applyNumberFormat="1" applyFont="1" applyAlignment="1">
      <alignment vertical="center"/>
    </xf>
    <xf numFmtId="3" fontId="0" fillId="0" borderId="0" xfId="2" applyNumberFormat="1" applyFont="1" applyAlignment="1">
      <alignment vertical="center"/>
    </xf>
    <xf numFmtId="0" fontId="126" fillId="0" borderId="0" xfId="0" applyFont="1" applyAlignment="1">
      <alignment horizontal="left"/>
    </xf>
    <xf numFmtId="0" fontId="126" fillId="0" borderId="0" xfId="0" applyFont="1" applyAlignment="1">
      <alignment horizontal="center"/>
    </xf>
    <xf numFmtId="49" fontId="126" fillId="0" borderId="0" xfId="0" applyNumberFormat="1" applyFont="1" applyAlignment="1">
      <alignment horizontal="center"/>
    </xf>
    <xf numFmtId="0" fontId="126" fillId="0" borderId="0" xfId="0" applyFont="1" applyAlignment="1">
      <alignment horizontal="center" vertical="center"/>
    </xf>
    <xf numFmtId="3" fontId="126" fillId="15" borderId="0" xfId="15" applyNumberFormat="1" applyFont="1" applyFill="1" applyAlignment="1">
      <alignment vertical="center"/>
    </xf>
    <xf numFmtId="3" fontId="0" fillId="0" borderId="0" xfId="0" applyNumberFormat="1" applyAlignment="1">
      <alignment vertical="center"/>
    </xf>
    <xf numFmtId="0" fontId="0" fillId="0" borderId="0" xfId="0" applyAlignment="1">
      <alignment horizontal="center"/>
    </xf>
    <xf numFmtId="49" fontId="0" fillId="0" borderId="0" xfId="0" applyNumberFormat="1" applyAlignment="1">
      <alignment horizontal="center"/>
    </xf>
    <xf numFmtId="10" fontId="0" fillId="15" borderId="0" xfId="0" applyNumberFormat="1" applyFill="1" applyAlignment="1">
      <alignment horizontal="center" vertical="center" wrapText="1"/>
    </xf>
    <xf numFmtId="3" fontId="0" fillId="14" borderId="0" xfId="0" applyNumberFormat="1" applyFill="1" applyAlignment="1">
      <alignment horizontal="center" vertical="center" wrapText="1"/>
    </xf>
    <xf numFmtId="0" fontId="0" fillId="14" borderId="0" xfId="0" applyFill="1" applyAlignment="1">
      <alignment horizontal="center" vertical="center" wrapText="1"/>
    </xf>
    <xf numFmtId="0" fontId="1" fillId="14" borderId="207" xfId="0" applyFont="1" applyFill="1" applyBorder="1" applyAlignment="1">
      <alignment horizontal="center" vertical="center" wrapText="1"/>
    </xf>
    <xf numFmtId="49" fontId="0" fillId="15" borderId="0" xfId="0" applyNumberFormat="1" applyFill="1" applyAlignment="1">
      <alignment horizontal="center" vertical="center" wrapText="1"/>
    </xf>
    <xf numFmtId="0" fontId="0" fillId="15" borderId="0" xfId="0" applyFill="1" applyAlignment="1">
      <alignment horizontal="center" vertical="center" wrapText="1"/>
    </xf>
    <xf numFmtId="49" fontId="0" fillId="15" borderId="0" xfId="0" applyNumberFormat="1" applyFill="1" applyAlignment="1">
      <alignment horizontal="center"/>
    </xf>
    <xf numFmtId="0" fontId="0" fillId="15" borderId="0" xfId="0" applyFill="1" applyAlignment="1">
      <alignment horizontal="left" vertical="center"/>
    </xf>
    <xf numFmtId="0" fontId="0" fillId="15" borderId="0" xfId="0" applyFill="1" applyAlignment="1">
      <alignment horizontal="left"/>
    </xf>
    <xf numFmtId="0" fontId="0" fillId="15" borderId="0" xfId="0" applyFill="1" applyAlignment="1">
      <alignment horizontal="center" vertical="center"/>
    </xf>
    <xf numFmtId="0" fontId="118" fillId="15" borderId="0" xfId="14" applyFill="1" applyAlignment="1">
      <alignment vertical="center"/>
    </xf>
    <xf numFmtId="0" fontId="44" fillId="0" borderId="3" xfId="0" applyFont="1" applyBorder="1" applyAlignment="1">
      <alignment horizontal="left" vertical="center"/>
    </xf>
    <xf numFmtId="10" fontId="0" fillId="27" borderId="0" xfId="0" applyNumberFormat="1" applyFill="1" applyAlignment="1">
      <alignment vertical="center"/>
    </xf>
    <xf numFmtId="10" fontId="72" fillId="0" borderId="7" xfId="0" applyNumberFormat="1" applyFont="1" applyBorder="1" applyAlignment="1">
      <alignment horizontal="center" vertical="center"/>
    </xf>
    <xf numFmtId="9" fontId="72" fillId="0" borderId="6" xfId="2" applyFont="1" applyBorder="1" applyAlignment="1">
      <alignment horizontal="center" vertical="center"/>
    </xf>
    <xf numFmtId="0" fontId="74" fillId="18" borderId="4" xfId="0" applyFont="1" applyFill="1" applyBorder="1" applyAlignment="1">
      <alignment horizontal="center" vertical="center"/>
    </xf>
    <xf numFmtId="0" fontId="74" fillId="18" borderId="5" xfId="0" applyFont="1" applyFill="1" applyBorder="1" applyAlignment="1">
      <alignment horizontal="center" vertical="center"/>
    </xf>
    <xf numFmtId="10" fontId="72" fillId="0" borderId="4" xfId="0" applyNumberFormat="1" applyFont="1" applyBorder="1" applyAlignment="1">
      <alignment horizontal="center" vertical="center"/>
    </xf>
    <xf numFmtId="0" fontId="72" fillId="0" borderId="12" xfId="0" applyFont="1" applyBorder="1" applyAlignment="1">
      <alignment horizontal="center" vertical="center"/>
    </xf>
    <xf numFmtId="0" fontId="74" fillId="18" borderId="12" xfId="0" applyFont="1" applyFill="1" applyBorder="1" applyAlignment="1">
      <alignment horizontal="center" vertical="center"/>
    </xf>
    <xf numFmtId="10" fontId="72" fillId="0" borderId="6" xfId="2" applyNumberFormat="1" applyFont="1" applyBorder="1" applyAlignment="1">
      <alignment horizontal="center" vertical="center"/>
    </xf>
    <xf numFmtId="10" fontId="12" fillId="0" borderId="14" xfId="2" applyNumberFormat="1" applyFont="1" applyFill="1" applyBorder="1" applyAlignment="1">
      <alignment vertical="center" wrapText="1"/>
    </xf>
    <xf numFmtId="10" fontId="4" fillId="0" borderId="29" xfId="2" applyNumberFormat="1" applyFont="1" applyFill="1" applyBorder="1" applyAlignment="1">
      <alignment horizontal="center" vertical="center"/>
    </xf>
    <xf numFmtId="0" fontId="12" fillId="0" borderId="14" xfId="0" applyFont="1" applyBorder="1" applyAlignment="1">
      <alignment horizontal="center" vertical="center" wrapText="1"/>
    </xf>
    <xf numFmtId="0" fontId="72" fillId="0" borderId="181" xfId="0" applyFont="1" applyBorder="1" applyAlignment="1" applyProtection="1">
      <alignment vertical="center" wrapText="1"/>
      <protection locked="0"/>
    </xf>
    <xf numFmtId="0" fontId="13" fillId="4" borderId="12" xfId="0" applyFont="1" applyFill="1" applyBorder="1" applyAlignment="1">
      <alignment vertical="center" wrapText="1"/>
    </xf>
    <xf numFmtId="0" fontId="30" fillId="4" borderId="52" xfId="0" applyFont="1" applyFill="1" applyBorder="1" applyAlignment="1">
      <alignment horizontal="center" vertical="center" wrapText="1"/>
    </xf>
    <xf numFmtId="0" fontId="12" fillId="0" borderId="0" xfId="2" applyNumberFormat="1" applyFont="1" applyAlignment="1">
      <alignment vertical="center"/>
    </xf>
    <xf numFmtId="0" fontId="12" fillId="0" borderId="23" xfId="2" applyNumberFormat="1" applyFont="1" applyFill="1" applyBorder="1" applyAlignment="1">
      <alignment horizontal="center" vertical="center" wrapText="1"/>
    </xf>
    <xf numFmtId="0" fontId="12" fillId="0" borderId="38" xfId="3" applyNumberFormat="1" applyFont="1" applyFill="1" applyBorder="1" applyAlignment="1">
      <alignment horizontal="center" vertical="center" wrapText="1"/>
    </xf>
    <xf numFmtId="0" fontId="117" fillId="4" borderId="36" xfId="7" applyFont="1" applyFill="1" applyBorder="1" applyAlignment="1">
      <alignment horizontal="center" vertical="center"/>
    </xf>
    <xf numFmtId="0" fontId="71" fillId="4" borderId="36" xfId="7" applyFont="1" applyFill="1" applyBorder="1" applyAlignment="1">
      <alignment horizontal="center" vertical="center"/>
    </xf>
    <xf numFmtId="0" fontId="0" fillId="0" borderId="14" xfId="0" applyBorder="1"/>
    <xf numFmtId="0" fontId="27" fillId="14" borderId="32" xfId="0" applyFont="1" applyFill="1" applyBorder="1" applyAlignment="1">
      <alignment horizontal="center" vertical="center" wrapText="1"/>
    </xf>
    <xf numFmtId="0" fontId="28" fillId="13" borderId="32" xfId="0" applyFont="1" applyFill="1" applyBorder="1" applyAlignment="1">
      <alignment vertical="center" wrapText="1"/>
    </xf>
    <xf numFmtId="0" fontId="0" fillId="0" borderId="14" xfId="0" applyBorder="1" applyAlignment="1">
      <alignment wrapText="1"/>
    </xf>
    <xf numFmtId="0" fontId="22" fillId="13" borderId="14" xfId="0" applyFont="1" applyFill="1" applyBorder="1"/>
    <xf numFmtId="0" fontId="29" fillId="0" borderId="0" xfId="0" applyFont="1" applyAlignment="1">
      <alignment vertical="center" wrapText="1"/>
    </xf>
    <xf numFmtId="0" fontId="114" fillId="19" borderId="0" xfId="0" applyFont="1" applyFill="1" applyAlignment="1">
      <alignment horizontal="left"/>
    </xf>
    <xf numFmtId="0" fontId="78" fillId="19" borderId="0" xfId="0" applyFont="1" applyFill="1"/>
    <xf numFmtId="0" fontId="70" fillId="19" borderId="0" xfId="0" applyFont="1" applyFill="1" applyAlignment="1">
      <alignment vertical="top"/>
    </xf>
    <xf numFmtId="0" fontId="46" fillId="19" borderId="4" xfId="1" applyFont="1" applyFill="1" applyBorder="1" applyAlignment="1">
      <alignment vertical="center" wrapText="1"/>
    </xf>
    <xf numFmtId="0" fontId="127" fillId="15" borderId="0" xfId="0" applyFont="1" applyFill="1" applyAlignment="1">
      <alignment horizontal="left" vertical="center" wrapText="1"/>
    </xf>
    <xf numFmtId="0" fontId="127" fillId="0" borderId="0" xfId="0" applyFont="1" applyAlignment="1">
      <alignment vertical="center" wrapText="1"/>
    </xf>
    <xf numFmtId="0" fontId="1" fillId="0" borderId="16" xfId="0" applyFont="1" applyBorder="1" applyAlignment="1">
      <alignment horizontal="center" vertical="center" wrapText="1"/>
    </xf>
    <xf numFmtId="0" fontId="30" fillId="0" borderId="14" xfId="0" applyFont="1" applyBorder="1" applyAlignment="1">
      <alignment horizontal="center" vertical="center" wrapText="1"/>
    </xf>
    <xf numFmtId="0" fontId="1" fillId="4" borderId="10" xfId="0" applyFont="1" applyFill="1" applyBorder="1" applyAlignment="1">
      <alignment horizontal="center" vertical="center" wrapText="1"/>
    </xf>
    <xf numFmtId="180" fontId="12" fillId="0" borderId="32" xfId="2" applyNumberFormat="1" applyFont="1" applyFill="1" applyBorder="1" applyAlignment="1">
      <alignment horizontal="center" vertical="center"/>
    </xf>
    <xf numFmtId="0" fontId="13" fillId="0" borderId="14" xfId="0" applyFont="1" applyBorder="1" applyAlignment="1">
      <alignment vertical="center" wrapText="1"/>
    </xf>
    <xf numFmtId="0" fontId="12" fillId="19" borderId="57" xfId="0" applyFont="1" applyFill="1" applyBorder="1" applyAlignment="1">
      <alignment vertical="center" wrapText="1"/>
    </xf>
    <xf numFmtId="0" fontId="0" fillId="0" borderId="14" xfId="0" applyBorder="1" applyAlignment="1">
      <alignment horizontal="center" vertical="center" wrapText="1"/>
    </xf>
    <xf numFmtId="10" fontId="12" fillId="0" borderId="38" xfId="2" applyNumberFormat="1" applyFont="1" applyFill="1" applyBorder="1" applyAlignment="1">
      <alignment horizontal="center" vertical="center" wrapText="1"/>
    </xf>
    <xf numFmtId="0" fontId="71" fillId="4" borderId="36" xfId="7" applyFont="1" applyFill="1" applyBorder="1" applyAlignment="1">
      <alignment horizontal="center" vertical="center"/>
    </xf>
    <xf numFmtId="0" fontId="117" fillId="4" borderId="36" xfId="7" applyFont="1" applyFill="1" applyBorder="1" applyAlignment="1">
      <alignment horizontal="center" vertical="center"/>
    </xf>
    <xf numFmtId="0" fontId="115" fillId="4" borderId="0" xfId="7" applyFont="1" applyFill="1" applyAlignment="1">
      <alignment horizontal="center" vertical="center" wrapText="1"/>
    </xf>
    <xf numFmtId="14" fontId="71" fillId="4" borderId="58" xfId="7" applyNumberFormat="1" applyFont="1" applyFill="1" applyBorder="1" applyAlignment="1">
      <alignment horizontal="center" vertical="center"/>
    </xf>
    <xf numFmtId="0" fontId="81" fillId="4" borderId="36" xfId="7" applyFont="1" applyFill="1" applyBorder="1" applyAlignment="1">
      <alignment horizontal="center" vertical="center"/>
    </xf>
    <xf numFmtId="0" fontId="91" fillId="4" borderId="165" xfId="13" applyFont="1" applyFill="1" applyBorder="1" applyAlignment="1">
      <alignment horizontal="center" vertical="center" wrapText="1"/>
    </xf>
    <xf numFmtId="0" fontId="74" fillId="4" borderId="163" xfId="0" applyFont="1" applyFill="1" applyBorder="1" applyAlignment="1">
      <alignment horizontal="center" vertical="center" wrapText="1"/>
    </xf>
    <xf numFmtId="0" fontId="74" fillId="4" borderId="164" xfId="0" applyFont="1" applyFill="1" applyBorder="1" applyAlignment="1">
      <alignment horizontal="left" vertical="center" wrapText="1"/>
    </xf>
    <xf numFmtId="0" fontId="72" fillId="0" borderId="164" xfId="0" applyFont="1" applyBorder="1" applyAlignment="1">
      <alignment horizontal="left" vertical="center" wrapText="1"/>
    </xf>
    <xf numFmtId="0" fontId="72" fillId="0" borderId="165" xfId="0" applyFont="1" applyBorder="1" applyAlignment="1">
      <alignment horizontal="left" vertical="center" wrapText="1"/>
    </xf>
    <xf numFmtId="0" fontId="91" fillId="4" borderId="163" xfId="8" applyFont="1" applyFill="1" applyBorder="1" applyAlignment="1">
      <alignment horizontal="center" vertical="center"/>
    </xf>
    <xf numFmtId="0" fontId="91" fillId="4" borderId="164" xfId="8" applyFont="1" applyFill="1" applyBorder="1" applyAlignment="1">
      <alignment horizontal="center" vertical="center" wrapText="1"/>
    </xf>
    <xf numFmtId="0" fontId="91" fillId="4" borderId="164" xfId="8" applyFont="1" applyFill="1" applyBorder="1" applyAlignment="1">
      <alignment horizontal="center" vertical="center"/>
    </xf>
    <xf numFmtId="0" fontId="91" fillId="4" borderId="164" xfId="13" applyFont="1" applyFill="1" applyBorder="1" applyAlignment="1">
      <alignment horizontal="center" vertical="center" wrapText="1"/>
    </xf>
    <xf numFmtId="0" fontId="74" fillId="4" borderId="166" xfId="8" applyFont="1" applyFill="1" applyBorder="1" applyAlignment="1">
      <alignment horizontal="center" vertical="center" wrapText="1"/>
    </xf>
    <xf numFmtId="0" fontId="74" fillId="4" borderId="146" xfId="8" applyFont="1" applyFill="1" applyBorder="1" applyAlignment="1">
      <alignment horizontal="center" vertical="center" wrapText="1"/>
    </xf>
    <xf numFmtId="0" fontId="74" fillId="4" borderId="168" xfId="8" applyFont="1" applyFill="1" applyBorder="1" applyAlignment="1">
      <alignment horizontal="center" vertical="center" wrapText="1"/>
    </xf>
    <xf numFmtId="0" fontId="74" fillId="4" borderId="167" xfId="8" applyFont="1" applyFill="1" applyBorder="1" applyAlignment="1">
      <alignment horizontal="center" vertical="center" wrapText="1"/>
    </xf>
    <xf numFmtId="0" fontId="74" fillId="4" borderId="129" xfId="8" applyFont="1" applyFill="1" applyBorder="1" applyAlignment="1">
      <alignment horizontal="center" vertical="center" wrapText="1"/>
    </xf>
    <xf numFmtId="0" fontId="74" fillId="4" borderId="127" xfId="8" applyFont="1" applyFill="1" applyBorder="1" applyAlignment="1">
      <alignment horizontal="center" vertical="center" wrapText="1"/>
    </xf>
    <xf numFmtId="0" fontId="72" fillId="0" borderId="167" xfId="8" applyFont="1" applyBorder="1" applyAlignment="1">
      <alignment horizontal="center" vertical="center" wrapText="1"/>
    </xf>
    <xf numFmtId="0" fontId="72" fillId="0" borderId="129" xfId="8" applyFont="1" applyBorder="1" applyAlignment="1">
      <alignment horizontal="center" vertical="center" wrapText="1"/>
    </xf>
    <xf numFmtId="0" fontId="72" fillId="0" borderId="127" xfId="8" applyFont="1" applyBorder="1" applyAlignment="1">
      <alignment horizontal="center" vertical="center" wrapText="1"/>
    </xf>
    <xf numFmtId="0" fontId="72" fillId="0" borderId="165" xfId="8" applyFont="1" applyBorder="1" applyAlignment="1" applyProtection="1">
      <alignment horizontal="left" vertical="center" wrapText="1"/>
      <protection locked="0"/>
    </xf>
    <xf numFmtId="0" fontId="74" fillId="4" borderId="163" xfId="8" applyFont="1" applyFill="1" applyBorder="1" applyAlignment="1">
      <alignment horizontal="center" vertical="center" wrapText="1"/>
    </xf>
    <xf numFmtId="0" fontId="74" fillId="4" borderId="167" xfId="8" applyFont="1" applyFill="1" applyBorder="1" applyAlignment="1">
      <alignment horizontal="left" vertical="center" wrapText="1"/>
    </xf>
    <xf numFmtId="0" fontId="74" fillId="4" borderId="127" xfId="8" applyFont="1" applyFill="1" applyBorder="1" applyAlignment="1">
      <alignment horizontal="left" vertical="center" wrapText="1"/>
    </xf>
    <xf numFmtId="0" fontId="72" fillId="0" borderId="167" xfId="8" applyFont="1" applyBorder="1" applyAlignment="1">
      <alignment horizontal="left" vertical="center" wrapText="1"/>
    </xf>
    <xf numFmtId="0" fontId="72" fillId="0" borderId="127" xfId="8" applyFont="1" applyBorder="1" applyAlignment="1">
      <alignment horizontal="left" vertical="center" wrapText="1"/>
    </xf>
    <xf numFmtId="0" fontId="91" fillId="8" borderId="163" xfId="0" applyFont="1" applyFill="1" applyBorder="1" applyAlignment="1">
      <alignment horizontal="left" vertical="center"/>
    </xf>
    <xf numFmtId="0" fontId="91" fillId="8" borderId="164" xfId="0" applyFont="1" applyFill="1" applyBorder="1" applyAlignment="1">
      <alignment horizontal="left" vertical="center"/>
    </xf>
    <xf numFmtId="0" fontId="91" fillId="8" borderId="165" xfId="0" applyFont="1" applyFill="1" applyBorder="1" applyAlignment="1">
      <alignment horizontal="left" vertical="center"/>
    </xf>
    <xf numFmtId="0" fontId="74" fillId="4" borderId="166" xfId="0" applyFont="1" applyFill="1" applyBorder="1" applyAlignment="1">
      <alignment horizontal="center" vertical="center" wrapText="1"/>
    </xf>
    <xf numFmtId="0" fontId="74" fillId="4" borderId="146" xfId="0" applyFont="1" applyFill="1" applyBorder="1" applyAlignment="1">
      <alignment horizontal="center" vertical="center" wrapText="1"/>
    </xf>
    <xf numFmtId="0" fontId="74" fillId="4" borderId="168" xfId="0" applyFont="1" applyFill="1" applyBorder="1" applyAlignment="1">
      <alignment horizontal="center" vertical="center" wrapText="1"/>
    </xf>
    <xf numFmtId="0" fontId="74" fillId="4" borderId="167" xfId="0" applyFont="1" applyFill="1" applyBorder="1" applyAlignment="1">
      <alignment horizontal="left" vertical="center" wrapText="1"/>
    </xf>
    <xf numFmtId="0" fontId="74" fillId="4" borderId="129" xfId="0" applyFont="1" applyFill="1" applyBorder="1" applyAlignment="1">
      <alignment horizontal="left" vertical="center" wrapText="1"/>
    </xf>
    <xf numFmtId="0" fontId="74" fillId="4" borderId="127" xfId="0" applyFont="1" applyFill="1" applyBorder="1" applyAlignment="1">
      <alignment horizontal="left" vertical="center" wrapText="1"/>
    </xf>
    <xf numFmtId="0" fontId="91" fillId="4" borderId="163" xfId="0" applyFont="1" applyFill="1" applyBorder="1" applyAlignment="1">
      <alignment horizontal="center" vertical="center"/>
    </xf>
    <xf numFmtId="0" fontId="91" fillId="4" borderId="164" xfId="0" applyFont="1" applyFill="1" applyBorder="1" applyAlignment="1">
      <alignment horizontal="center" vertical="center" wrapText="1"/>
    </xf>
    <xf numFmtId="0" fontId="91" fillId="4" borderId="164" xfId="0" applyFont="1" applyFill="1" applyBorder="1" applyAlignment="1">
      <alignment horizontal="center" vertical="center"/>
    </xf>
    <xf numFmtId="0" fontId="72" fillId="0" borderId="164" xfId="0" applyFont="1" applyBorder="1" applyAlignment="1">
      <alignment horizontal="left" vertical="center"/>
    </xf>
    <xf numFmtId="0" fontId="72" fillId="0" borderId="165" xfId="0" applyFont="1" applyBorder="1" applyAlignment="1">
      <alignment horizontal="left" vertical="center"/>
    </xf>
    <xf numFmtId="0" fontId="76" fillId="2" borderId="164" xfId="10" applyFont="1" applyFill="1" applyBorder="1" applyAlignment="1">
      <alignment horizontal="left" vertical="center" wrapText="1"/>
    </xf>
    <xf numFmtId="0" fontId="74" fillId="4" borderId="163" xfId="0" applyFont="1" applyFill="1" applyBorder="1" applyAlignment="1">
      <alignment horizontal="center" vertical="center"/>
    </xf>
    <xf numFmtId="0" fontId="72" fillId="2" borderId="164" xfId="0" applyFont="1" applyFill="1" applyBorder="1" applyAlignment="1">
      <alignment horizontal="left" vertical="center" wrapText="1"/>
    </xf>
    <xf numFmtId="0" fontId="72" fillId="0" borderId="165" xfId="0" applyFont="1" applyBorder="1" applyAlignment="1">
      <alignment horizontal="center" vertical="center" wrapText="1"/>
    </xf>
    <xf numFmtId="0" fontId="74" fillId="4" borderId="166" xfId="0" applyFont="1" applyFill="1" applyBorder="1" applyAlignment="1">
      <alignment horizontal="center" vertical="center"/>
    </xf>
    <xf numFmtId="0" fontId="74" fillId="4" borderId="168" xfId="0" applyFont="1" applyFill="1" applyBorder="1" applyAlignment="1">
      <alignment horizontal="center" vertical="center"/>
    </xf>
    <xf numFmtId="0" fontId="72" fillId="2" borderId="164" xfId="8" applyFont="1" applyFill="1" applyBorder="1" applyAlignment="1">
      <alignment horizontal="left" vertical="center" wrapText="1"/>
    </xf>
    <xf numFmtId="0" fontId="76" fillId="0" borderId="164" xfId="10" applyFont="1" applyFill="1" applyBorder="1" applyAlignment="1">
      <alignment horizontal="left" vertical="center" wrapText="1"/>
    </xf>
    <xf numFmtId="0" fontId="72" fillId="0" borderId="165" xfId="0" applyFont="1" applyBorder="1" applyAlignment="1" applyProtection="1">
      <alignment horizontal="left" vertical="center"/>
      <protection locked="0"/>
    </xf>
    <xf numFmtId="0" fontId="72" fillId="0" borderId="167" xfId="0" applyFont="1" applyBorder="1" applyAlignment="1">
      <alignment horizontal="left" vertical="center" wrapText="1"/>
    </xf>
    <xf numFmtId="0" fontId="72" fillId="0" borderId="172" xfId="0" applyFont="1" applyBorder="1" applyAlignment="1" applyProtection="1">
      <alignment horizontal="left" vertical="center"/>
      <protection locked="0"/>
    </xf>
    <xf numFmtId="0" fontId="74" fillId="4" borderId="164" xfId="8" applyFont="1" applyFill="1" applyBorder="1" applyAlignment="1">
      <alignment horizontal="left" vertical="center" wrapText="1"/>
    </xf>
    <xf numFmtId="0" fontId="72" fillId="0" borderId="164" xfId="8" applyFont="1" applyBorder="1" applyAlignment="1">
      <alignment horizontal="left" vertical="center" wrapText="1"/>
    </xf>
    <xf numFmtId="0" fontId="76" fillId="0" borderId="164" xfId="11" applyFont="1" applyFill="1" applyBorder="1" applyAlignment="1">
      <alignment horizontal="left" vertical="center" wrapText="1"/>
    </xf>
    <xf numFmtId="0" fontId="72" fillId="0" borderId="165" xfId="8" applyFont="1" applyBorder="1" applyAlignment="1">
      <alignment horizontal="center" vertical="center" wrapText="1"/>
    </xf>
    <xf numFmtId="0" fontId="74" fillId="4" borderId="163" xfId="8" applyFont="1" applyFill="1" applyBorder="1" applyAlignment="1">
      <alignment horizontal="left" vertical="center" wrapText="1"/>
    </xf>
    <xf numFmtId="0" fontId="74" fillId="0" borderId="164" xfId="8" applyFont="1" applyBorder="1" applyAlignment="1">
      <alignment horizontal="left" vertical="center" wrapText="1"/>
    </xf>
    <xf numFmtId="0" fontId="74" fillId="4" borderId="175" xfId="0" applyFont="1" applyFill="1" applyBorder="1" applyAlignment="1">
      <alignment horizontal="center" vertical="center" wrapText="1"/>
    </xf>
    <xf numFmtId="0" fontId="74" fillId="4" borderId="177" xfId="0" applyFont="1" applyFill="1" applyBorder="1" applyAlignment="1">
      <alignment horizontal="center" vertical="center" wrapText="1"/>
    </xf>
    <xf numFmtId="0" fontId="72" fillId="0" borderId="176" xfId="0" applyFont="1" applyBorder="1" applyAlignment="1">
      <alignment horizontal="left" vertical="center" wrapText="1"/>
    </xf>
    <xf numFmtId="0" fontId="72" fillId="0" borderId="176" xfId="0" applyFont="1" applyBorder="1" applyAlignment="1">
      <alignment vertical="center" wrapText="1"/>
    </xf>
    <xf numFmtId="0" fontId="74" fillId="4" borderId="180" xfId="0" applyFont="1" applyFill="1" applyBorder="1" applyAlignment="1">
      <alignment horizontal="center" vertical="center" wrapText="1"/>
    </xf>
    <xf numFmtId="0" fontId="72" fillId="0" borderId="178" xfId="0" applyFont="1" applyBorder="1" applyAlignment="1">
      <alignment horizontal="left" vertical="center" wrapText="1"/>
    </xf>
    <xf numFmtId="0" fontId="72" fillId="0" borderId="133" xfId="0" applyFont="1" applyBorder="1" applyAlignment="1">
      <alignment horizontal="left" vertical="center" wrapText="1"/>
    </xf>
    <xf numFmtId="0" fontId="72" fillId="0" borderId="179" xfId="0" applyFont="1" applyBorder="1" applyAlignment="1">
      <alignment horizontal="center" vertical="center" wrapText="1"/>
    </xf>
    <xf numFmtId="0" fontId="72" fillId="0" borderId="181" xfId="0" applyFont="1" applyBorder="1" applyAlignment="1">
      <alignment horizontal="center" vertical="center" wrapText="1"/>
    </xf>
    <xf numFmtId="0" fontId="74" fillId="4" borderId="164" xfId="0" applyFont="1" applyFill="1" applyBorder="1" applyAlignment="1">
      <alignment horizontal="center" vertical="center" wrapText="1"/>
    </xf>
    <xf numFmtId="0" fontId="74" fillId="4" borderId="178" xfId="0" applyFont="1" applyFill="1" applyBorder="1" applyAlignment="1">
      <alignment horizontal="left" vertical="center" wrapText="1"/>
    </xf>
    <xf numFmtId="0" fontId="74" fillId="4" borderId="181" xfId="0" applyFont="1" applyFill="1" applyBorder="1" applyAlignment="1">
      <alignment horizontal="left" vertical="center" wrapText="1"/>
    </xf>
    <xf numFmtId="0" fontId="72" fillId="0" borderId="127" xfId="0" applyFont="1" applyBorder="1" applyAlignment="1">
      <alignment horizontal="left" vertical="center" wrapText="1"/>
    </xf>
    <xf numFmtId="0" fontId="72" fillId="0" borderId="181" xfId="0" applyFont="1" applyBorder="1" applyAlignment="1">
      <alignment horizontal="left" vertical="center" wrapText="1"/>
    </xf>
    <xf numFmtId="0" fontId="74" fillId="4" borderId="146" xfId="0" applyFont="1" applyFill="1" applyBorder="1" applyAlignment="1">
      <alignment horizontal="center" vertical="center"/>
    </xf>
    <xf numFmtId="0" fontId="93" fillId="0" borderId="167" xfId="10" applyFont="1" applyFill="1" applyBorder="1" applyAlignment="1">
      <alignment horizontal="left" vertical="center" wrapText="1"/>
    </xf>
    <xf numFmtId="0" fontId="93" fillId="0" borderId="127" xfId="10" applyFont="1" applyFill="1" applyBorder="1" applyAlignment="1">
      <alignment horizontal="left" vertical="center" wrapText="1"/>
    </xf>
    <xf numFmtId="0" fontId="93" fillId="0" borderId="167" xfId="0" applyFont="1" applyBorder="1" applyAlignment="1">
      <alignment horizontal="center" vertical="center" wrapText="1"/>
    </xf>
    <xf numFmtId="0" fontId="93" fillId="0" borderId="127" xfId="0" applyFont="1" applyBorder="1" applyAlignment="1">
      <alignment horizontal="center" vertical="center" wrapText="1"/>
    </xf>
    <xf numFmtId="0" fontId="74" fillId="0" borderId="172" xfId="13" applyFont="1" applyBorder="1" applyAlignment="1">
      <alignment horizontal="center" vertical="center" wrapText="1"/>
    </xf>
    <xf numFmtId="0" fontId="74" fillId="0" borderId="182" xfId="13" applyFont="1" applyBorder="1" applyAlignment="1">
      <alignment horizontal="center" vertical="center" wrapText="1"/>
    </xf>
    <xf numFmtId="0" fontId="93" fillId="0" borderId="164" xfId="0" applyFont="1" applyBorder="1" applyAlignment="1">
      <alignment vertical="center" wrapText="1"/>
    </xf>
    <xf numFmtId="0" fontId="93" fillId="0" borderId="164" xfId="0" applyFont="1" applyBorder="1" applyAlignment="1">
      <alignment horizontal="left" vertical="center" wrapText="1"/>
    </xf>
    <xf numFmtId="0" fontId="72" fillId="0" borderId="165" xfId="0" applyFont="1" applyBorder="1" applyAlignment="1">
      <alignment horizontal="center"/>
    </xf>
    <xf numFmtId="0" fontId="42" fillId="0" borderId="164" xfId="0" applyFont="1" applyBorder="1" applyAlignment="1">
      <alignment horizontal="center" vertical="center" wrapText="1"/>
    </xf>
    <xf numFmtId="0" fontId="101" fillId="0" borderId="165" xfId="0" applyFont="1" applyBorder="1" applyAlignment="1">
      <alignment horizontal="left"/>
    </xf>
    <xf numFmtId="0" fontId="93" fillId="0" borderId="164" xfId="8" applyFont="1" applyBorder="1" applyAlignment="1">
      <alignment horizontal="left" vertical="center" wrapText="1"/>
    </xf>
    <xf numFmtId="0" fontId="102" fillId="0" borderId="165" xfId="8" applyFont="1" applyBorder="1" applyAlignment="1" applyProtection="1">
      <alignment horizontal="center" vertical="center" wrapText="1"/>
      <protection locked="0"/>
    </xf>
    <xf numFmtId="0" fontId="78" fillId="0" borderId="165" xfId="0" applyFont="1" applyBorder="1" applyAlignment="1">
      <alignment horizontal="center" vertical="center" wrapText="1"/>
    </xf>
    <xf numFmtId="0" fontId="105" fillId="0" borderId="164" xfId="0" applyFont="1" applyBorder="1" applyAlignment="1">
      <alignment horizontal="left" vertical="center" wrapText="1"/>
    </xf>
    <xf numFmtId="0" fontId="108" fillId="0" borderId="164" xfId="0" applyFont="1" applyBorder="1" applyAlignment="1">
      <alignment horizontal="left" vertical="center" wrapText="1"/>
    </xf>
    <xf numFmtId="0" fontId="76" fillId="2" borderId="167" xfId="10" applyFont="1" applyFill="1" applyBorder="1" applyAlignment="1">
      <alignment horizontal="left" vertical="center" wrapText="1"/>
    </xf>
    <xf numFmtId="0" fontId="76" fillId="2" borderId="127" xfId="10" applyFont="1" applyFill="1" applyBorder="1" applyAlignment="1">
      <alignment horizontal="left" vertical="center" wrapText="1"/>
    </xf>
    <xf numFmtId="0" fontId="76" fillId="2" borderId="129" xfId="10" applyFont="1" applyFill="1" applyBorder="1" applyAlignment="1">
      <alignment horizontal="left" vertical="center" wrapText="1"/>
    </xf>
    <xf numFmtId="0" fontId="110" fillId="0" borderId="164" xfId="0" applyFont="1" applyBorder="1" applyAlignment="1">
      <alignment horizontal="left" vertical="center" wrapText="1"/>
    </xf>
    <xf numFmtId="0" fontId="81" fillId="4" borderId="163" xfId="0" applyFont="1" applyFill="1" applyBorder="1" applyAlignment="1">
      <alignment horizontal="center" vertical="center" wrapText="1"/>
    </xf>
    <xf numFmtId="0" fontId="78" fillId="0" borderId="164" xfId="0" applyFont="1" applyBorder="1" applyAlignment="1">
      <alignment horizontal="left" vertical="center" wrapText="1"/>
    </xf>
    <xf numFmtId="0" fontId="78" fillId="0" borderId="165" xfId="0" applyFont="1" applyBorder="1" applyAlignment="1">
      <alignment horizontal="left" vertical="center" wrapText="1"/>
    </xf>
    <xf numFmtId="0" fontId="81" fillId="4" borderId="164" xfId="0" applyFont="1" applyFill="1" applyBorder="1" applyAlignment="1">
      <alignment horizontal="left" vertical="center" wrapText="1"/>
    </xf>
    <xf numFmtId="0" fontId="14" fillId="0" borderId="164" xfId="0" applyFont="1" applyBorder="1" applyAlignment="1">
      <alignment horizontal="left" vertical="center" wrapText="1"/>
    </xf>
    <xf numFmtId="0" fontId="93" fillId="0" borderId="164" xfId="0" applyFont="1" applyBorder="1" applyAlignment="1">
      <alignment horizontal="left" vertical="center"/>
    </xf>
    <xf numFmtId="0" fontId="113" fillId="4" borderId="127" xfId="8" applyFont="1" applyFill="1" applyBorder="1" applyAlignment="1">
      <alignment horizontal="left" vertical="center" wrapText="1"/>
    </xf>
    <xf numFmtId="0" fontId="93" fillId="0" borderId="167" xfId="0" applyFont="1" applyBorder="1" applyAlignment="1">
      <alignment horizontal="left" vertical="center" wrapText="1"/>
    </xf>
    <xf numFmtId="0" fontId="93" fillId="0" borderId="127" xfId="0" applyFont="1" applyBorder="1" applyAlignment="1">
      <alignment horizontal="left" vertical="center" wrapText="1"/>
    </xf>
    <xf numFmtId="0" fontId="93" fillId="0" borderId="167" xfId="0" applyFont="1" applyBorder="1" applyAlignment="1">
      <alignment horizontal="left"/>
    </xf>
    <xf numFmtId="0" fontId="93" fillId="0" borderId="127" xfId="0" applyFont="1" applyBorder="1" applyAlignment="1">
      <alignment horizontal="left"/>
    </xf>
    <xf numFmtId="0" fontId="76" fillId="0" borderId="164" xfId="0" applyFont="1" applyBorder="1" applyAlignment="1">
      <alignment horizontal="left" vertical="center" wrapText="1"/>
    </xf>
    <xf numFmtId="0" fontId="72" fillId="0" borderId="98" xfId="0" applyFont="1" applyBorder="1" applyAlignment="1">
      <alignment horizontal="left" vertical="center"/>
    </xf>
    <xf numFmtId="0" fontId="72" fillId="0" borderId="99" xfId="0" applyFont="1" applyBorder="1" applyAlignment="1">
      <alignment horizontal="left" vertical="center"/>
    </xf>
    <xf numFmtId="0" fontId="72" fillId="0" borderId="102" xfId="0" applyFont="1" applyBorder="1" applyAlignment="1">
      <alignment horizontal="left" vertical="center"/>
    </xf>
    <xf numFmtId="0" fontId="72" fillId="0" borderId="101" xfId="0" applyFont="1" applyBorder="1" applyAlignment="1">
      <alignment horizontal="left" vertical="center"/>
    </xf>
    <xf numFmtId="0" fontId="73" fillId="4" borderId="0" xfId="7" applyFont="1" applyFill="1" applyAlignment="1">
      <alignment horizontal="center" vertical="center"/>
    </xf>
    <xf numFmtId="0" fontId="74" fillId="4" borderId="79" xfId="0" applyFont="1" applyFill="1" applyBorder="1" applyAlignment="1">
      <alignment horizontal="center" vertical="center"/>
    </xf>
    <xf numFmtId="0" fontId="74" fillId="4" borderId="86" xfId="0" applyFont="1" applyFill="1" applyBorder="1" applyAlignment="1">
      <alignment horizontal="center" vertical="center"/>
    </xf>
    <xf numFmtId="0" fontId="74" fillId="4" borderId="80" xfId="0" applyFont="1" applyFill="1" applyBorder="1" applyAlignment="1">
      <alignment horizontal="center" vertical="center"/>
    </xf>
    <xf numFmtId="0" fontId="74" fillId="4" borderId="81" xfId="0" applyFont="1" applyFill="1" applyBorder="1" applyAlignment="1">
      <alignment horizontal="center" vertical="center"/>
    </xf>
    <xf numFmtId="0" fontId="74" fillId="4" borderId="85" xfId="0" applyFont="1" applyFill="1" applyBorder="1" applyAlignment="1">
      <alignment horizontal="center" vertical="center"/>
    </xf>
    <xf numFmtId="0" fontId="74" fillId="4" borderId="41" xfId="0" applyFont="1" applyFill="1" applyBorder="1" applyAlignment="1">
      <alignment horizontal="center" vertical="center"/>
    </xf>
    <xf numFmtId="0" fontId="74" fillId="4" borderId="0" xfId="0" applyFont="1" applyFill="1" applyAlignment="1">
      <alignment horizontal="center" vertical="center"/>
    </xf>
    <xf numFmtId="0" fontId="74" fillId="4" borderId="130" xfId="0" applyFont="1" applyFill="1" applyBorder="1" applyAlignment="1">
      <alignment horizontal="center" vertical="center"/>
    </xf>
    <xf numFmtId="0" fontId="74" fillId="4" borderId="131" xfId="0" applyFont="1" applyFill="1" applyBorder="1" applyAlignment="1">
      <alignment horizontal="center" vertical="center"/>
    </xf>
    <xf numFmtId="0" fontId="74" fillId="26" borderId="92" xfId="0" applyFont="1" applyFill="1" applyBorder="1" applyAlignment="1">
      <alignment horizontal="left" vertical="center"/>
    </xf>
    <xf numFmtId="0" fontId="74" fillId="26" borderId="93" xfId="0" applyFont="1" applyFill="1" applyBorder="1" applyAlignment="1">
      <alignment horizontal="left" vertical="center"/>
    </xf>
    <xf numFmtId="0" fontId="74" fillId="0" borderId="99" xfId="0" applyFont="1" applyBorder="1" applyAlignment="1">
      <alignment horizontal="left" vertical="center"/>
    </xf>
    <xf numFmtId="0" fontId="74" fillId="0" borderId="102" xfId="0" applyFont="1" applyBorder="1" applyAlignment="1">
      <alignment horizontal="left" vertical="center"/>
    </xf>
    <xf numFmtId="0" fontId="74" fillId="0" borderId="101" xfId="0" applyFont="1" applyBorder="1" applyAlignment="1">
      <alignment horizontal="left" vertical="center"/>
    </xf>
    <xf numFmtId="0" fontId="74" fillId="8" borderId="99" xfId="0" applyFont="1" applyFill="1" applyBorder="1" applyAlignment="1">
      <alignment horizontal="left" vertical="center"/>
    </xf>
    <xf numFmtId="0" fontId="74" fillId="8" borderId="102" xfId="0" applyFont="1" applyFill="1" applyBorder="1" applyAlignment="1">
      <alignment horizontal="left" vertical="center"/>
    </xf>
    <xf numFmtId="0" fontId="74" fillId="8" borderId="101" xfId="0" applyFont="1" applyFill="1" applyBorder="1" applyAlignment="1">
      <alignment horizontal="left" vertical="center"/>
    </xf>
    <xf numFmtId="0" fontId="74" fillId="26" borderId="99" xfId="0" applyFont="1" applyFill="1" applyBorder="1" applyAlignment="1">
      <alignment horizontal="left" vertical="center"/>
    </xf>
    <xf numFmtId="0" fontId="74" fillId="26" borderId="102" xfId="0" applyFont="1" applyFill="1" applyBorder="1" applyAlignment="1">
      <alignment horizontal="left" vertical="center"/>
    </xf>
    <xf numFmtId="0" fontId="74" fillId="26" borderId="101" xfId="0" applyFont="1" applyFill="1" applyBorder="1" applyAlignment="1">
      <alignment horizontal="left" vertical="center"/>
    </xf>
    <xf numFmtId="0" fontId="72" fillId="0" borderId="99" xfId="0" applyFont="1" applyBorder="1" applyAlignment="1">
      <alignment vertical="center" wrapText="1"/>
    </xf>
    <xf numFmtId="0" fontId="72" fillId="0" borderId="102" xfId="0" applyFont="1" applyBorder="1" applyAlignment="1">
      <alignment vertical="center" wrapText="1"/>
    </xf>
    <xf numFmtId="0" fontId="72" fillId="0" borderId="103" xfId="0" applyFont="1" applyBorder="1" applyAlignment="1">
      <alignment vertical="center" wrapText="1"/>
    </xf>
    <xf numFmtId="0" fontId="72" fillId="0" borderId="111" xfId="0" applyFont="1" applyBorder="1" applyAlignment="1">
      <alignment horizontal="left" vertical="center"/>
    </xf>
    <xf numFmtId="0" fontId="72" fillId="0" borderId="137" xfId="0" applyFont="1" applyBorder="1" applyAlignment="1">
      <alignment horizontal="left" vertical="center"/>
    </xf>
    <xf numFmtId="0" fontId="72" fillId="0" borderId="138" xfId="0" applyFont="1" applyBorder="1" applyAlignment="1">
      <alignment horizontal="left" vertical="center"/>
    </xf>
    <xf numFmtId="0" fontId="72" fillId="0" borderId="98" xfId="0" applyFont="1" applyBorder="1" applyAlignment="1">
      <alignment vertical="center" wrapText="1"/>
    </xf>
    <xf numFmtId="0" fontId="72" fillId="0" borderId="103" xfId="0" applyFont="1" applyBorder="1" applyAlignment="1">
      <alignment horizontal="left" vertical="center"/>
    </xf>
    <xf numFmtId="0" fontId="72" fillId="0" borderId="99" xfId="0" applyFont="1" applyBorder="1" applyAlignment="1">
      <alignment horizontal="center" vertical="center"/>
    </xf>
    <xf numFmtId="0" fontId="72" fillId="0" borderId="102" xfId="0" applyFont="1" applyBorder="1" applyAlignment="1">
      <alignment horizontal="center" vertical="center"/>
    </xf>
    <xf numFmtId="0" fontId="72" fillId="0" borderId="103" xfId="0" applyFont="1" applyBorder="1" applyAlignment="1">
      <alignment horizontal="center" vertical="center"/>
    </xf>
    <xf numFmtId="0" fontId="74" fillId="26" borderId="99" xfId="0" applyFont="1" applyFill="1" applyBorder="1" applyAlignment="1">
      <alignment horizontal="center" vertical="center"/>
    </xf>
    <xf numFmtId="0" fontId="74" fillId="26" borderId="102" xfId="0" applyFont="1" applyFill="1" applyBorder="1" applyAlignment="1">
      <alignment horizontal="center" vertical="center"/>
    </xf>
    <xf numFmtId="0" fontId="74" fillId="26" borderId="103" xfId="0" applyFont="1" applyFill="1" applyBorder="1" applyAlignment="1">
      <alignment horizontal="center" vertical="center"/>
    </xf>
    <xf numFmtId="0" fontId="72" fillId="0" borderId="111" xfId="0" applyFont="1" applyBorder="1" applyAlignment="1">
      <alignment horizontal="center" vertical="center"/>
    </xf>
    <xf numFmtId="0" fontId="72" fillId="0" borderId="137" xfId="0" applyFont="1" applyBorder="1" applyAlignment="1">
      <alignment horizontal="center" vertical="center"/>
    </xf>
    <xf numFmtId="0" fontId="72" fillId="0" borderId="139" xfId="0" applyFont="1" applyBorder="1" applyAlignment="1">
      <alignment horizontal="center" vertical="center"/>
    </xf>
    <xf numFmtId="0" fontId="74" fillId="26" borderId="93" xfId="0" applyFont="1" applyFill="1" applyBorder="1" applyAlignment="1">
      <alignment horizontal="center" vertical="center"/>
    </xf>
    <xf numFmtId="0" fontId="74" fillId="26" borderId="140" xfId="0" applyFont="1" applyFill="1" applyBorder="1" applyAlignment="1">
      <alignment horizontal="center" vertical="center"/>
    </xf>
    <xf numFmtId="0" fontId="74" fillId="26" borderId="141" xfId="0" applyFont="1" applyFill="1" applyBorder="1" applyAlignment="1">
      <alignment horizontal="center" vertical="center"/>
    </xf>
    <xf numFmtId="0" fontId="72" fillId="0" borderId="107" xfId="0" applyFont="1" applyBorder="1" applyAlignment="1">
      <alignment horizontal="left" vertical="center"/>
    </xf>
    <xf numFmtId="0" fontId="72" fillId="0" borderId="136" xfId="0" applyFont="1" applyBorder="1" applyAlignment="1">
      <alignment horizontal="left" vertical="center"/>
    </xf>
    <xf numFmtId="0" fontId="74" fillId="26" borderId="98" xfId="0" applyFont="1" applyFill="1" applyBorder="1" applyAlignment="1">
      <alignment horizontal="left" vertical="center"/>
    </xf>
    <xf numFmtId="0" fontId="72" fillId="0" borderId="129" xfId="0" applyFont="1" applyBorder="1" applyAlignment="1">
      <alignment horizontal="left" vertical="center"/>
    </xf>
    <xf numFmtId="0" fontId="72" fillId="0" borderId="125" xfId="0" applyFont="1" applyBorder="1" applyAlignment="1">
      <alignment horizontal="left" vertical="center"/>
    </xf>
    <xf numFmtId="0" fontId="72" fillId="0" borderId="110" xfId="0" applyFont="1" applyBorder="1" applyAlignment="1">
      <alignment horizontal="left" vertical="center"/>
    </xf>
    <xf numFmtId="0" fontId="74" fillId="4" borderId="128" xfId="0" applyFont="1" applyFill="1" applyBorder="1" applyAlignment="1">
      <alignment horizontal="left" vertical="center"/>
    </xf>
    <xf numFmtId="0" fontId="74" fillId="4" borderId="149" xfId="0" applyFont="1" applyFill="1" applyBorder="1" applyAlignment="1">
      <alignment horizontal="left" vertical="center"/>
    </xf>
    <xf numFmtId="0" fontId="74" fillId="4" borderId="124" xfId="0" applyFont="1" applyFill="1" applyBorder="1" applyAlignment="1">
      <alignment horizontal="left" vertical="center"/>
    </xf>
    <xf numFmtId="0" fontId="72" fillId="0" borderId="0" xfId="0" applyFont="1" applyAlignment="1">
      <alignment horizontal="left" vertical="center"/>
    </xf>
    <xf numFmtId="0" fontId="72" fillId="0" borderId="126" xfId="0" applyFont="1" applyBorder="1" applyAlignment="1">
      <alignment horizontal="left" vertical="center"/>
    </xf>
    <xf numFmtId="0" fontId="72" fillId="10" borderId="125" xfId="0" applyFont="1" applyFill="1" applyBorder="1" applyAlignment="1">
      <alignment horizontal="left" vertical="center"/>
    </xf>
    <xf numFmtId="0" fontId="72" fillId="10" borderId="0" xfId="0" applyFont="1" applyFill="1" applyAlignment="1">
      <alignment horizontal="left" vertical="center"/>
    </xf>
    <xf numFmtId="0" fontId="72" fillId="10" borderId="126" xfId="0" applyFont="1" applyFill="1" applyBorder="1" applyAlignment="1">
      <alignment horizontal="left" vertical="center"/>
    </xf>
    <xf numFmtId="0" fontId="72" fillId="0" borderId="122" xfId="0" applyFont="1" applyBorder="1" applyAlignment="1">
      <alignment horizontal="left" vertical="center"/>
    </xf>
    <xf numFmtId="0" fontId="72" fillId="0" borderId="148" xfId="0" applyFont="1" applyBorder="1" applyAlignment="1">
      <alignment horizontal="left" vertical="center"/>
    </xf>
    <xf numFmtId="0" fontId="74" fillId="4" borderId="150" xfId="0" applyFont="1" applyFill="1" applyBorder="1" applyAlignment="1">
      <alignment horizontal="center" vertical="center"/>
    </xf>
    <xf numFmtId="0" fontId="74" fillId="4" borderId="151" xfId="0" applyFont="1" applyFill="1" applyBorder="1" applyAlignment="1">
      <alignment horizontal="center" vertical="center"/>
    </xf>
    <xf numFmtId="0" fontId="74" fillId="4" borderId="90" xfId="0" applyFont="1" applyFill="1" applyBorder="1" applyAlignment="1">
      <alignment horizontal="center" vertical="center"/>
    </xf>
    <xf numFmtId="0" fontId="72" fillId="0" borderId="128" xfId="0" applyFont="1" applyBorder="1" applyAlignment="1">
      <alignment horizontal="left" vertical="center"/>
    </xf>
    <xf numFmtId="0" fontId="72" fillId="0" borderId="149" xfId="0" applyFont="1" applyBorder="1" applyAlignment="1">
      <alignment horizontal="left" vertical="center"/>
    </xf>
    <xf numFmtId="0" fontId="72" fillId="0" borderId="124" xfId="0" applyFont="1" applyBorder="1" applyAlignment="1">
      <alignment horizontal="left" vertical="center"/>
    </xf>
    <xf numFmtId="0" fontId="87" fillId="0" borderId="158" xfId="0" applyFont="1" applyBorder="1" applyAlignment="1">
      <alignment horizontal="center" textRotation="90" wrapText="1"/>
    </xf>
    <xf numFmtId="0" fontId="74" fillId="4" borderId="184" xfId="13" applyFont="1" applyFill="1" applyBorder="1" applyAlignment="1" applyProtection="1">
      <alignment horizontal="center" vertical="center" wrapText="1"/>
      <protection locked="0"/>
    </xf>
    <xf numFmtId="0" fontId="74" fillId="4" borderId="187" xfId="13" applyFont="1" applyFill="1" applyBorder="1" applyAlignment="1" applyProtection="1">
      <alignment horizontal="center" vertical="center" wrapText="1"/>
      <protection locked="0"/>
    </xf>
    <xf numFmtId="0" fontId="74" fillId="4" borderId="79" xfId="0" applyFont="1" applyFill="1" applyBorder="1" applyAlignment="1" applyProtection="1">
      <alignment horizontal="center" vertical="center" wrapText="1"/>
      <protection locked="0"/>
    </xf>
    <xf numFmtId="0" fontId="74" fillId="4" borderId="86" xfId="0" applyFont="1" applyFill="1" applyBorder="1" applyAlignment="1" applyProtection="1">
      <alignment horizontal="center" vertical="center" wrapText="1"/>
      <protection locked="0"/>
    </xf>
    <xf numFmtId="0" fontId="74" fillId="4" borderId="188" xfId="0" applyFont="1" applyFill="1" applyBorder="1" applyAlignment="1" applyProtection="1">
      <alignment horizontal="center" vertical="center" wrapText="1"/>
      <protection locked="0"/>
    </xf>
    <xf numFmtId="0" fontId="74" fillId="4" borderId="178" xfId="0" applyFont="1" applyFill="1" applyBorder="1" applyAlignment="1" applyProtection="1">
      <alignment horizontal="left" vertical="center" wrapText="1"/>
      <protection locked="0"/>
    </xf>
    <xf numFmtId="0" fontId="74" fillId="4" borderId="133" xfId="0" applyFont="1" applyFill="1" applyBorder="1" applyAlignment="1" applyProtection="1">
      <alignment horizontal="left" vertical="center" wrapText="1"/>
      <protection locked="0"/>
    </xf>
    <xf numFmtId="0" fontId="74" fillId="4" borderId="181" xfId="0" applyFont="1" applyFill="1" applyBorder="1" applyAlignment="1" applyProtection="1">
      <alignment horizontal="left" vertical="center" wrapText="1"/>
      <protection locked="0"/>
    </xf>
    <xf numFmtId="0" fontId="72" fillId="0" borderId="178" xfId="0" applyFont="1" applyBorder="1" applyAlignment="1" applyProtection="1">
      <alignment horizontal="left" vertical="center" wrapText="1"/>
      <protection locked="0"/>
    </xf>
    <xf numFmtId="0" fontId="72" fillId="0" borderId="133" xfId="0" applyFont="1" applyBorder="1" applyAlignment="1" applyProtection="1">
      <alignment horizontal="left" vertical="center" wrapText="1"/>
      <protection locked="0"/>
    </xf>
    <xf numFmtId="0" fontId="72" fillId="0" borderId="181" xfId="0" applyFont="1" applyBorder="1" applyAlignment="1" applyProtection="1">
      <alignment horizontal="left" vertical="center" wrapText="1"/>
      <protection locked="0"/>
    </xf>
    <xf numFmtId="0" fontId="72" fillId="0" borderId="184" xfId="0" applyFont="1" applyBorder="1" applyAlignment="1" applyProtection="1">
      <alignment horizontal="center" vertical="center"/>
      <protection locked="0"/>
    </xf>
    <xf numFmtId="0" fontId="72" fillId="0" borderId="134" xfId="0" applyFont="1" applyBorder="1" applyAlignment="1" applyProtection="1">
      <alignment horizontal="center" vertical="center"/>
      <protection locked="0"/>
    </xf>
    <xf numFmtId="0" fontId="72" fillId="0" borderId="187" xfId="0" applyFont="1" applyBorder="1" applyAlignment="1" applyProtection="1">
      <alignment horizontal="center" vertical="center"/>
      <protection locked="0"/>
    </xf>
    <xf numFmtId="10" fontId="72" fillId="0" borderId="185" xfId="2" applyNumberFormat="1" applyFont="1" applyBorder="1" applyAlignment="1" applyProtection="1">
      <alignment horizontal="center" vertical="center" wrapText="1"/>
      <protection locked="0"/>
    </xf>
    <xf numFmtId="10" fontId="72" fillId="0" borderId="83" xfId="2" applyNumberFormat="1" applyFont="1" applyBorder="1" applyAlignment="1" applyProtection="1">
      <alignment horizontal="center" vertical="center" wrapText="1"/>
      <protection locked="0"/>
    </xf>
    <xf numFmtId="10" fontId="72" fillId="0" borderId="186" xfId="2" applyNumberFormat="1" applyFont="1" applyBorder="1" applyAlignment="1" applyProtection="1">
      <alignment horizontal="center" vertical="center" wrapText="1"/>
      <protection locked="0"/>
    </xf>
    <xf numFmtId="0" fontId="72" fillId="0" borderId="176" xfId="0" applyFont="1" applyBorder="1" applyAlignment="1" applyProtection="1">
      <alignment horizontal="left" vertical="center" wrapText="1"/>
      <protection locked="0"/>
    </xf>
    <xf numFmtId="0" fontId="72" fillId="0" borderId="80" xfId="0" applyFont="1" applyBorder="1" applyAlignment="1" applyProtection="1">
      <alignment horizontal="center" vertical="center"/>
      <protection locked="0"/>
    </xf>
    <xf numFmtId="0" fontId="72" fillId="0" borderId="41" xfId="0" applyFont="1" applyBorder="1" applyAlignment="1" applyProtection="1">
      <alignment horizontal="center" vertical="center"/>
      <protection locked="0"/>
    </xf>
    <xf numFmtId="0" fontId="74" fillId="4" borderId="183" xfId="0" applyFont="1" applyFill="1" applyBorder="1" applyAlignment="1" applyProtection="1">
      <alignment horizontal="center" vertical="center"/>
      <protection locked="0"/>
    </xf>
    <xf numFmtId="0" fontId="74" fillId="4" borderId="176" xfId="0" applyFont="1" applyFill="1" applyBorder="1" applyAlignment="1" applyProtection="1">
      <alignment horizontal="center" vertical="center" wrapText="1"/>
      <protection locked="0"/>
    </xf>
    <xf numFmtId="0" fontId="74" fillId="4" borderId="176" xfId="0" applyFont="1" applyFill="1" applyBorder="1" applyAlignment="1" applyProtection="1">
      <alignment horizontal="center" vertical="center"/>
      <protection locked="0"/>
    </xf>
    <xf numFmtId="0" fontId="74" fillId="4" borderId="176" xfId="13" applyFont="1" applyFill="1" applyBorder="1" applyAlignment="1" applyProtection="1">
      <alignment horizontal="center" vertical="center" wrapText="1"/>
      <protection locked="0"/>
    </xf>
    <xf numFmtId="0" fontId="72" fillId="0" borderId="176" xfId="0" applyFont="1" applyBorder="1" applyAlignment="1" applyProtection="1">
      <alignment horizontal="center" vertical="center" wrapText="1"/>
      <protection locked="0"/>
    </xf>
    <xf numFmtId="9" fontId="72" fillId="0" borderId="185" xfId="2" applyFont="1" applyFill="1" applyBorder="1" applyAlignment="1" applyProtection="1">
      <alignment horizontal="center" vertical="center" wrapText="1"/>
      <protection locked="0"/>
    </xf>
    <xf numFmtId="9" fontId="72" fillId="0" borderId="83" xfId="2" applyFont="1" applyFill="1" applyBorder="1" applyAlignment="1" applyProtection="1">
      <alignment horizontal="center" vertical="center" wrapText="1"/>
      <protection locked="0"/>
    </xf>
    <xf numFmtId="9" fontId="72" fillId="0" borderId="186" xfId="2" applyFont="1" applyFill="1" applyBorder="1" applyAlignment="1" applyProtection="1">
      <alignment horizontal="center" vertical="center" wrapText="1"/>
      <protection locked="0"/>
    </xf>
    <xf numFmtId="0" fontId="72" fillId="0" borderId="184" xfId="0" applyFont="1" applyBorder="1" applyAlignment="1" applyProtection="1">
      <alignment horizontal="left" vertical="center" wrapText="1"/>
      <protection locked="0"/>
    </xf>
    <xf numFmtId="0" fontId="72" fillId="0" borderId="187" xfId="0" applyFont="1" applyBorder="1" applyAlignment="1" applyProtection="1">
      <alignment horizontal="left" vertical="center" wrapText="1"/>
      <protection locked="0"/>
    </xf>
    <xf numFmtId="0" fontId="74" fillId="27" borderId="13" xfId="0" applyFont="1" applyFill="1" applyBorder="1" applyAlignment="1">
      <alignment horizontal="center" vertical="center" wrapText="1"/>
    </xf>
    <xf numFmtId="0" fontId="74" fillId="27" borderId="71" xfId="0" applyFont="1" applyFill="1" applyBorder="1" applyAlignment="1">
      <alignment horizontal="center" vertical="center"/>
    </xf>
    <xf numFmtId="0" fontId="74" fillId="38" borderId="13" xfId="0" applyFont="1" applyFill="1" applyBorder="1" applyAlignment="1">
      <alignment horizontal="center" vertical="center" wrapText="1"/>
    </xf>
    <xf numFmtId="0" fontId="74" fillId="38" borderId="71" xfId="0" applyFont="1" applyFill="1" applyBorder="1" applyAlignment="1">
      <alignment horizontal="center" vertical="center"/>
    </xf>
    <xf numFmtId="0" fontId="74" fillId="4" borderId="189" xfId="0" applyFont="1" applyFill="1" applyBorder="1" applyAlignment="1" applyProtection="1">
      <alignment horizontal="center" vertical="center" wrapText="1"/>
      <protection locked="0"/>
    </xf>
    <xf numFmtId="0" fontId="74" fillId="4" borderId="190" xfId="0" applyFont="1" applyFill="1" applyBorder="1" applyAlignment="1" applyProtection="1">
      <alignment horizontal="center" vertical="center" wrapText="1"/>
      <protection locked="0"/>
    </xf>
    <xf numFmtId="0" fontId="72" fillId="0" borderId="178" xfId="0" applyFont="1" applyBorder="1" applyAlignment="1" applyProtection="1">
      <alignment horizontal="left" vertical="center"/>
      <protection locked="0"/>
    </xf>
    <xf numFmtId="0" fontId="72" fillId="0" borderId="133" xfId="0" applyFont="1" applyBorder="1" applyAlignment="1" applyProtection="1">
      <alignment horizontal="left" vertical="center"/>
      <protection locked="0"/>
    </xf>
    <xf numFmtId="0" fontId="72" fillId="0" borderId="134" xfId="0" applyFont="1" applyBorder="1" applyAlignment="1" applyProtection="1">
      <alignment horizontal="left" vertical="center" wrapText="1"/>
      <protection locked="0"/>
    </xf>
    <xf numFmtId="0" fontId="121" fillId="0" borderId="4" xfId="1" applyFont="1" applyBorder="1" applyAlignment="1">
      <alignment horizontal="center" vertical="center" wrapText="1"/>
    </xf>
    <xf numFmtId="0" fontId="121" fillId="0" borderId="3" xfId="1" applyFont="1" applyBorder="1" applyAlignment="1">
      <alignment horizontal="center" vertical="center" wrapText="1"/>
    </xf>
    <xf numFmtId="0" fontId="121" fillId="0" borderId="5" xfId="1" applyFont="1" applyBorder="1" applyAlignment="1">
      <alignment horizontal="center" vertical="center" wrapText="1"/>
    </xf>
    <xf numFmtId="0" fontId="6" fillId="0" borderId="4" xfId="1" applyFont="1" applyBorder="1" applyAlignment="1">
      <alignment horizontal="center" vertical="center" wrapText="1"/>
    </xf>
    <xf numFmtId="0" fontId="6" fillId="0" borderId="3" xfId="1" applyFont="1" applyBorder="1" applyAlignment="1">
      <alignment horizontal="center" vertical="center" wrapText="1"/>
    </xf>
    <xf numFmtId="0" fontId="6" fillId="0" borderId="5" xfId="1" applyFont="1" applyBorder="1" applyAlignment="1">
      <alignment horizontal="center" vertical="center" wrapText="1"/>
    </xf>
    <xf numFmtId="0" fontId="19" fillId="0" borderId="4" xfId="1" applyFont="1" applyBorder="1" applyAlignment="1">
      <alignment horizontal="center" vertical="center" wrapText="1"/>
    </xf>
    <xf numFmtId="0" fontId="19" fillId="0" borderId="3" xfId="1" applyFont="1" applyBorder="1" applyAlignment="1">
      <alignment horizontal="center" vertical="center" wrapText="1"/>
    </xf>
    <xf numFmtId="0" fontId="19" fillId="0" borderId="5" xfId="1"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19" fillId="4" borderId="4" xfId="1" applyFont="1" applyFill="1" applyBorder="1" applyAlignment="1">
      <alignment horizontal="center" vertical="center" wrapText="1"/>
    </xf>
    <xf numFmtId="0" fontId="19" fillId="4" borderId="5" xfId="1" applyFont="1" applyFill="1" applyBorder="1" applyAlignment="1">
      <alignment horizontal="center" vertical="center" wrapText="1"/>
    </xf>
    <xf numFmtId="0" fontId="52" fillId="3" borderId="11" xfId="0" applyFont="1" applyFill="1" applyBorder="1" applyAlignment="1">
      <alignment horizontal="center" vertical="center" wrapText="1"/>
    </xf>
    <xf numFmtId="0" fontId="52" fillId="3" borderId="1" xfId="0" applyFont="1" applyFill="1" applyBorder="1" applyAlignment="1">
      <alignment horizontal="center" vertical="center" wrapText="1"/>
    </xf>
    <xf numFmtId="0" fontId="52" fillId="3" borderId="3"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5" fillId="0" borderId="26" xfId="0" applyFont="1" applyBorder="1" applyAlignment="1">
      <alignment horizontal="center" vertical="center"/>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32" xfId="0" applyFont="1" applyBorder="1" applyAlignment="1">
      <alignment horizontal="center" vertical="center"/>
    </xf>
    <xf numFmtId="0" fontId="5" fillId="19" borderId="4" xfId="0" applyFont="1" applyFill="1" applyBorder="1" applyAlignment="1">
      <alignment horizontal="center" vertical="center"/>
    </xf>
    <xf numFmtId="0" fontId="5" fillId="19" borderId="3" xfId="0" applyFont="1" applyFill="1" applyBorder="1" applyAlignment="1">
      <alignment horizontal="center" vertical="center"/>
    </xf>
    <xf numFmtId="0" fontId="5" fillId="19" borderId="5" xfId="0" applyFont="1" applyFill="1" applyBorder="1" applyAlignment="1">
      <alignment horizontal="center" vertic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46" fillId="0" borderId="4" xfId="1" applyFont="1" applyBorder="1" applyAlignment="1">
      <alignment horizontal="center" vertical="center"/>
    </xf>
    <xf numFmtId="0" fontId="46" fillId="0" borderId="3" xfId="1" applyFont="1" applyBorder="1" applyAlignment="1">
      <alignment horizontal="center" vertical="center"/>
    </xf>
    <xf numFmtId="0" fontId="46" fillId="0" borderId="5" xfId="1" applyFont="1" applyBorder="1" applyAlignment="1">
      <alignment horizontal="center" vertical="center"/>
    </xf>
    <xf numFmtId="0" fontId="5" fillId="19" borderId="4" xfId="0" applyFont="1" applyFill="1" applyBorder="1" applyAlignment="1">
      <alignment horizontal="center" vertical="center" wrapText="1"/>
    </xf>
    <xf numFmtId="0" fontId="5" fillId="19" borderId="3" xfId="0" applyFont="1" applyFill="1" applyBorder="1" applyAlignment="1">
      <alignment horizontal="center" vertical="center" wrapText="1"/>
    </xf>
    <xf numFmtId="0" fontId="5" fillId="19" borderId="5" xfId="0" applyFont="1" applyFill="1" applyBorder="1" applyAlignment="1">
      <alignment horizontal="center" vertical="center" wrapText="1"/>
    </xf>
    <xf numFmtId="0" fontId="13" fillId="4" borderId="48" xfId="0" applyFont="1" applyFill="1" applyBorder="1" applyAlignment="1">
      <alignment horizontal="center" vertical="center"/>
    </xf>
    <xf numFmtId="0" fontId="5" fillId="0" borderId="29" xfId="0" applyFont="1" applyBorder="1" applyAlignment="1">
      <alignment horizontal="center" vertical="center"/>
    </xf>
    <xf numFmtId="0" fontId="5" fillId="0" borderId="14" xfId="0" applyFont="1" applyBorder="1" applyAlignment="1">
      <alignment horizontal="center" vertical="center"/>
    </xf>
    <xf numFmtId="0" fontId="13" fillId="4" borderId="4"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52" xfId="0" applyFont="1" applyFill="1" applyBorder="1" applyAlignment="1">
      <alignment horizontal="center" vertical="center"/>
    </xf>
    <xf numFmtId="0" fontId="12" fillId="0" borderId="11" xfId="0" applyFont="1" applyBorder="1" applyAlignment="1">
      <alignment horizontal="left" vertical="center"/>
    </xf>
    <xf numFmtId="0" fontId="12" fillId="0" borderId="1" xfId="0" applyFont="1" applyBorder="1" applyAlignment="1">
      <alignment horizontal="left" vertical="center"/>
    </xf>
    <xf numFmtId="0" fontId="12" fillId="0" borderId="56" xfId="0" applyFont="1" applyBorder="1" applyAlignment="1">
      <alignment horizontal="left" vertical="center"/>
    </xf>
    <xf numFmtId="0" fontId="12" fillId="0" borderId="21" xfId="0" applyFont="1" applyBorder="1" applyAlignment="1">
      <alignment horizontal="left" vertical="center"/>
    </xf>
    <xf numFmtId="0" fontId="12" fillId="0" borderId="14" xfId="0" applyFont="1" applyBorder="1" applyAlignment="1">
      <alignment horizontal="left" vertical="center"/>
    </xf>
    <xf numFmtId="0" fontId="46" fillId="19" borderId="3" xfId="1" applyFont="1" applyFill="1" applyBorder="1" applyAlignment="1">
      <alignment horizontal="center" vertical="center" wrapText="1"/>
    </xf>
    <xf numFmtId="0" fontId="46" fillId="19" borderId="5" xfId="1" applyFont="1" applyFill="1" applyBorder="1" applyAlignment="1">
      <alignment horizontal="center" vertical="center" wrapText="1"/>
    </xf>
    <xf numFmtId="0" fontId="43" fillId="15" borderId="0" xfId="0" applyFont="1" applyFill="1" applyAlignment="1">
      <alignment horizontal="center" vertical="center" wrapText="1"/>
    </xf>
    <xf numFmtId="0" fontId="46" fillId="0" borderId="4" xfId="1" applyFont="1" applyBorder="1" applyAlignment="1">
      <alignment horizontal="center" vertical="center" wrapText="1"/>
    </xf>
    <xf numFmtId="0" fontId="46" fillId="0" borderId="3" xfId="1" applyFont="1" applyBorder="1" applyAlignment="1">
      <alignment horizontal="center" vertical="center" wrapText="1"/>
    </xf>
    <xf numFmtId="0" fontId="46" fillId="0" borderId="5" xfId="1" applyFont="1" applyBorder="1" applyAlignment="1">
      <alignment horizontal="center" vertical="center" wrapText="1"/>
    </xf>
    <xf numFmtId="0" fontId="31" fillId="5" borderId="4" xfId="1" applyFont="1" applyFill="1" applyBorder="1" applyAlignment="1">
      <alignment horizontal="justify" vertical="center" wrapText="1"/>
    </xf>
    <xf numFmtId="0" fontId="31" fillId="5" borderId="3" xfId="1" applyFont="1" applyFill="1" applyBorder="1" applyAlignment="1">
      <alignment horizontal="justify" vertical="center" wrapText="1"/>
    </xf>
    <xf numFmtId="0" fontId="31" fillId="5" borderId="5" xfId="1" applyFont="1" applyFill="1" applyBorder="1" applyAlignment="1">
      <alignment horizontal="justify" vertical="center" wrapText="1"/>
    </xf>
    <xf numFmtId="0" fontId="52" fillId="3" borderId="4" xfId="0" applyFont="1" applyFill="1" applyBorder="1" applyAlignment="1">
      <alignment horizontal="center" vertical="center" wrapText="1"/>
    </xf>
    <xf numFmtId="0" fontId="33" fillId="0" borderId="0" xfId="0" applyFont="1" applyAlignment="1">
      <alignment horizontal="center" vertical="center"/>
    </xf>
    <xf numFmtId="0" fontId="12" fillId="0" borderId="0" xfId="0" applyFont="1" applyAlignment="1">
      <alignment horizontal="center" vertical="center"/>
    </xf>
    <xf numFmtId="0" fontId="41" fillId="15" borderId="0" xfId="0" applyFont="1" applyFill="1" applyAlignment="1">
      <alignment horizontal="center" vertical="center" wrapText="1"/>
    </xf>
    <xf numFmtId="0" fontId="7" fillId="0" borderId="11" xfId="0" applyFont="1" applyBorder="1" applyAlignment="1">
      <alignment horizontal="center" vertical="center"/>
    </xf>
    <xf numFmtId="0" fontId="7" fillId="0" borderId="1" xfId="0" applyFont="1" applyBorder="1" applyAlignment="1">
      <alignment horizontal="center"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0" xfId="0" applyFont="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vertical="center"/>
    </xf>
    <xf numFmtId="0" fontId="12" fillId="0" borderId="4" xfId="0" applyFont="1" applyBorder="1" applyAlignment="1">
      <alignment horizontal="left" vertical="center"/>
    </xf>
    <xf numFmtId="0" fontId="12" fillId="0" borderId="3" xfId="0" applyFont="1" applyBorder="1" applyAlignment="1">
      <alignment horizontal="left" vertical="center"/>
    </xf>
    <xf numFmtId="0" fontId="12" fillId="0" borderId="5" xfId="0" applyFont="1" applyBorder="1" applyAlignment="1">
      <alignment horizontal="left" vertical="center"/>
    </xf>
    <xf numFmtId="0" fontId="12" fillId="4" borderId="1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31" fillId="5" borderId="4" xfId="1" applyFont="1" applyFill="1" applyBorder="1" applyAlignment="1">
      <alignment horizontal="left" vertical="center"/>
    </xf>
    <xf numFmtId="0" fontId="31" fillId="5" borderId="1" xfId="1" applyFont="1" applyFill="1" applyBorder="1" applyAlignment="1">
      <alignment horizontal="left" vertical="center"/>
    </xf>
    <xf numFmtId="0" fontId="31" fillId="5" borderId="10" xfId="1" applyFont="1" applyFill="1" applyBorder="1" applyAlignment="1">
      <alignment horizontal="left" vertical="center"/>
    </xf>
    <xf numFmtId="0" fontId="15" fillId="2" borderId="11" xfId="0" applyFont="1" applyFill="1" applyBorder="1" applyAlignment="1">
      <alignment horizontal="justify" vertical="center" wrapText="1"/>
    </xf>
    <xf numFmtId="0" fontId="15" fillId="2" borderId="1" xfId="0" applyFont="1" applyFill="1" applyBorder="1" applyAlignment="1">
      <alignment horizontal="justify" vertical="center" wrapText="1"/>
    </xf>
    <xf numFmtId="0" fontId="15" fillId="2" borderId="10" xfId="0" applyFont="1" applyFill="1" applyBorder="1" applyAlignment="1">
      <alignment horizontal="justify" vertical="center" wrapText="1"/>
    </xf>
    <xf numFmtId="0" fontId="52" fillId="3" borderId="7" xfId="0" applyFont="1" applyFill="1" applyBorder="1" applyAlignment="1">
      <alignment horizontal="center" vertical="center" wrapText="1"/>
    </xf>
    <xf numFmtId="0" fontId="52" fillId="3" borderId="2" xfId="0" applyFont="1" applyFill="1" applyBorder="1" applyAlignment="1">
      <alignment horizontal="center" vertical="center" wrapText="1"/>
    </xf>
    <xf numFmtId="0" fontId="12" fillId="4" borderId="11"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2" fillId="4" borderId="4" xfId="0" applyFont="1" applyFill="1" applyBorder="1" applyAlignment="1">
      <alignment horizontal="left" vertical="center" wrapText="1"/>
    </xf>
    <xf numFmtId="0" fontId="12" fillId="4" borderId="3" xfId="0" applyFont="1" applyFill="1" applyBorder="1" applyAlignment="1">
      <alignment horizontal="left" vertical="center" wrapText="1"/>
    </xf>
    <xf numFmtId="0" fontId="12" fillId="4" borderId="5" xfId="0" applyFont="1" applyFill="1" applyBorder="1" applyAlignment="1">
      <alignment horizontal="left" vertical="center" wrapText="1"/>
    </xf>
    <xf numFmtId="0" fontId="19" fillId="0" borderId="27" xfId="1" applyFont="1" applyBorder="1" applyAlignment="1">
      <alignment horizontal="left" vertical="center" wrapText="1"/>
    </xf>
    <xf numFmtId="0" fontId="19" fillId="0" borderId="36" xfId="1" applyFont="1" applyBorder="1" applyAlignment="1">
      <alignment horizontal="left" vertical="center" wrapText="1"/>
    </xf>
    <xf numFmtId="0" fontId="19" fillId="0" borderId="38" xfId="1" applyFont="1" applyBorder="1" applyAlignment="1">
      <alignment horizontal="left" vertical="center" wrapText="1"/>
    </xf>
    <xf numFmtId="0" fontId="10" fillId="4" borderId="11" xfId="1" applyFont="1" applyFill="1" applyBorder="1" applyAlignment="1">
      <alignment horizontal="left" vertical="center" wrapText="1"/>
    </xf>
    <xf numFmtId="0" fontId="10" fillId="4" borderId="1"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4" borderId="7" xfId="1" applyFont="1" applyFill="1" applyBorder="1" applyAlignment="1">
      <alignment horizontal="left" vertical="center" wrapText="1"/>
    </xf>
    <xf numFmtId="0" fontId="10" fillId="4" borderId="2" xfId="1" applyFont="1" applyFill="1" applyBorder="1" applyAlignment="1">
      <alignment horizontal="left" vertical="center" wrapText="1"/>
    </xf>
    <xf numFmtId="0" fontId="10" fillId="4" borderId="6" xfId="1" applyFont="1" applyFill="1" applyBorder="1" applyAlignment="1">
      <alignment horizontal="left" vertical="center" wrapText="1"/>
    </xf>
    <xf numFmtId="0" fontId="10" fillId="4" borderId="11" xfId="1" applyFont="1" applyFill="1" applyBorder="1" applyAlignment="1">
      <alignment horizontal="center" vertical="center" wrapText="1"/>
    </xf>
    <xf numFmtId="0" fontId="10" fillId="4" borderId="1" xfId="1" applyFont="1" applyFill="1" applyBorder="1" applyAlignment="1">
      <alignment horizontal="center" vertical="center" wrapText="1"/>
    </xf>
    <xf numFmtId="0" fontId="10" fillId="4" borderId="10" xfId="1" applyFont="1" applyFill="1" applyBorder="1" applyAlignment="1">
      <alignment horizontal="center" vertical="center" wrapText="1"/>
    </xf>
    <xf numFmtId="0" fontId="10" fillId="4" borderId="7" xfId="1" applyFont="1" applyFill="1" applyBorder="1" applyAlignment="1">
      <alignment horizontal="center" vertical="center" wrapText="1"/>
    </xf>
    <xf numFmtId="0" fontId="10" fillId="4" borderId="2" xfId="1" applyFont="1" applyFill="1" applyBorder="1" applyAlignment="1">
      <alignment horizontal="center" vertical="center" wrapText="1"/>
    </xf>
    <xf numFmtId="0" fontId="10" fillId="4" borderId="6" xfId="1" applyFont="1" applyFill="1" applyBorder="1" applyAlignment="1">
      <alignment horizontal="center" vertical="center" wrapText="1"/>
    </xf>
    <xf numFmtId="14" fontId="6" fillId="0" borderId="11" xfId="1" applyNumberFormat="1" applyFont="1" applyBorder="1" applyAlignment="1">
      <alignment horizontal="center" vertical="center" wrapText="1"/>
    </xf>
    <xf numFmtId="14" fontId="6" fillId="0" borderId="10" xfId="1" applyNumberFormat="1" applyFont="1" applyBorder="1" applyAlignment="1">
      <alignment horizontal="center" vertical="center" wrapText="1"/>
    </xf>
    <xf numFmtId="14" fontId="6" fillId="0" borderId="7" xfId="1" applyNumberFormat="1" applyFont="1" applyBorder="1" applyAlignment="1">
      <alignment horizontal="center" vertical="center" wrapText="1"/>
    </xf>
    <xf numFmtId="14" fontId="6" fillId="0" borderId="6" xfId="1" applyNumberFormat="1" applyFont="1" applyBorder="1" applyAlignment="1">
      <alignment horizontal="center" vertical="center" wrapText="1"/>
    </xf>
    <xf numFmtId="14" fontId="38" fillId="0" borderId="11" xfId="1" applyNumberFormat="1" applyFont="1" applyBorder="1" applyAlignment="1">
      <alignment horizontal="center" vertical="center" wrapText="1"/>
    </xf>
    <xf numFmtId="14" fontId="38" fillId="0" borderId="10" xfId="1" applyNumberFormat="1" applyFont="1" applyBorder="1" applyAlignment="1">
      <alignment horizontal="center" vertical="center" wrapText="1"/>
    </xf>
    <xf numFmtId="14" fontId="38" fillId="0" borderId="7" xfId="1" applyNumberFormat="1" applyFont="1" applyBorder="1" applyAlignment="1">
      <alignment horizontal="center" vertical="center" wrapText="1"/>
    </xf>
    <xf numFmtId="14" fontId="38" fillId="0" borderId="6" xfId="1" applyNumberFormat="1" applyFont="1" applyBorder="1" applyAlignment="1">
      <alignment horizontal="center" vertical="center" wrapText="1"/>
    </xf>
    <xf numFmtId="14" fontId="10" fillId="4" borderId="4" xfId="1" applyNumberFormat="1" applyFont="1" applyFill="1" applyBorder="1" applyAlignment="1">
      <alignment horizontal="center" vertical="center" wrapText="1"/>
    </xf>
    <xf numFmtId="14" fontId="10" fillId="4" borderId="3" xfId="1" applyNumberFormat="1" applyFont="1" applyFill="1" applyBorder="1" applyAlignment="1">
      <alignment horizontal="center" vertical="center" wrapText="1"/>
    </xf>
    <xf numFmtId="14" fontId="10" fillId="4" borderId="5" xfId="1" applyNumberFormat="1" applyFont="1" applyFill="1" applyBorder="1" applyAlignment="1">
      <alignment horizontal="center" vertical="center" wrapText="1"/>
    </xf>
    <xf numFmtId="0" fontId="19" fillId="0" borderId="28" xfId="1" applyFont="1" applyBorder="1" applyAlignment="1">
      <alignment horizontal="left" vertical="center" wrapText="1"/>
    </xf>
    <xf numFmtId="0" fontId="19" fillId="0" borderId="35" xfId="1" applyFont="1" applyBorder="1" applyAlignment="1">
      <alignment horizontal="left" vertical="center" wrapText="1"/>
    </xf>
    <xf numFmtId="0" fontId="19" fillId="0" borderId="37" xfId="1" applyFont="1" applyBorder="1" applyAlignment="1">
      <alignment horizontal="left" vertical="center" wrapText="1"/>
    </xf>
    <xf numFmtId="0" fontId="5" fillId="0" borderId="28" xfId="0" applyFont="1" applyBorder="1" applyAlignment="1">
      <alignment horizontal="center" vertical="center"/>
    </xf>
    <xf numFmtId="0" fontId="5" fillId="0" borderId="33" xfId="0" applyFont="1" applyBorder="1" applyAlignment="1">
      <alignment horizontal="center" vertical="center"/>
    </xf>
    <xf numFmtId="0" fontId="5" fillId="0" borderId="19" xfId="0" applyFont="1" applyBorder="1" applyAlignment="1">
      <alignment horizontal="center" vertical="center"/>
    </xf>
    <xf numFmtId="0" fontId="12" fillId="0" borderId="18" xfId="0" applyFont="1" applyBorder="1" applyAlignment="1">
      <alignment horizontal="left" vertical="center"/>
    </xf>
    <xf numFmtId="0" fontId="12" fillId="0" borderId="19" xfId="0" applyFont="1" applyBorder="1" applyAlignment="1">
      <alignment horizontal="left" vertical="center"/>
    </xf>
    <xf numFmtId="0" fontId="41" fillId="15" borderId="9"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10" fillId="4" borderId="4" xfId="1" applyFont="1" applyFill="1" applyBorder="1" applyAlignment="1">
      <alignment horizontal="center" vertical="center"/>
    </xf>
    <xf numFmtId="0" fontId="10" fillId="4" borderId="5" xfId="1" applyFont="1" applyFill="1" applyBorder="1" applyAlignment="1">
      <alignment horizontal="center" vertical="center"/>
    </xf>
    <xf numFmtId="0" fontId="10" fillId="2" borderId="4" xfId="1" applyFont="1" applyFill="1" applyBorder="1" applyAlignment="1">
      <alignment horizontal="center" vertical="center" wrapText="1"/>
    </xf>
    <xf numFmtId="0" fontId="10" fillId="2" borderId="3"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20" fillId="0" borderId="4" xfId="1" applyFont="1" applyBorder="1" applyAlignment="1">
      <alignment horizontal="center" vertical="center" wrapText="1"/>
    </xf>
    <xf numFmtId="0" fontId="20" fillId="0" borderId="3" xfId="1" applyFont="1" applyBorder="1" applyAlignment="1">
      <alignment horizontal="center" vertical="center" wrapText="1"/>
    </xf>
    <xf numFmtId="0" fontId="20" fillId="0" borderId="5" xfId="1" applyFont="1" applyBorder="1" applyAlignment="1">
      <alignment horizontal="center" vertical="center" wrapText="1"/>
    </xf>
    <xf numFmtId="0" fontId="19" fillId="4" borderId="4" xfId="1" applyFont="1" applyFill="1" applyBorder="1" applyAlignment="1">
      <alignment horizontal="center" vertical="center"/>
    </xf>
    <xf numFmtId="0" fontId="19" fillId="4" borderId="5" xfId="1" applyFont="1" applyFill="1" applyBorder="1" applyAlignment="1">
      <alignment horizontal="center" vertical="center"/>
    </xf>
    <xf numFmtId="0" fontId="31" fillId="5" borderId="11" xfId="1" applyFont="1" applyFill="1" applyBorder="1" applyAlignment="1">
      <alignment horizontal="left" vertical="center" wrapText="1"/>
    </xf>
    <xf numFmtId="0" fontId="31" fillId="5" borderId="1" xfId="1" applyFont="1" applyFill="1" applyBorder="1" applyAlignment="1">
      <alignment horizontal="left" vertical="center" wrapText="1"/>
    </xf>
    <xf numFmtId="0" fontId="31" fillId="5" borderId="10" xfId="1" applyFont="1" applyFill="1" applyBorder="1" applyAlignment="1">
      <alignment horizontal="left" vertical="center" wrapText="1"/>
    </xf>
    <xf numFmtId="14" fontId="19" fillId="0" borderId="4" xfId="1" applyNumberFormat="1" applyFont="1" applyBorder="1" applyAlignment="1">
      <alignment horizontal="center" vertical="center" wrapText="1"/>
    </xf>
    <xf numFmtId="14" fontId="19" fillId="0" borderId="5" xfId="1" applyNumberFormat="1" applyFont="1" applyBorder="1" applyAlignment="1">
      <alignment horizontal="center" vertical="center" wrapText="1"/>
    </xf>
    <xf numFmtId="172" fontId="66" fillId="0" borderId="58" xfId="0" applyNumberFormat="1" applyFont="1" applyBorder="1" applyAlignment="1">
      <alignment horizontal="center" vertical="center"/>
    </xf>
    <xf numFmtId="172" fontId="66" fillId="0" borderId="47" xfId="0" applyNumberFormat="1" applyFont="1" applyBorder="1" applyAlignment="1">
      <alignment horizontal="center" vertical="center"/>
    </xf>
    <xf numFmtId="0" fontId="4" fillId="4" borderId="4"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5" xfId="0" applyFont="1" applyFill="1" applyBorder="1" applyAlignment="1">
      <alignment horizontal="center" vertical="center"/>
    </xf>
    <xf numFmtId="0" fontId="15" fillId="0" borderId="0" xfId="0" applyFont="1" applyAlignment="1">
      <alignment horizontal="left" vertical="center" wrapText="1"/>
    </xf>
    <xf numFmtId="0" fontId="18" fillId="3" borderId="4"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5" fillId="0" borderId="11"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5" fillId="0" borderId="9"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horizontal="center" vertical="center"/>
    </xf>
    <xf numFmtId="0" fontId="10" fillId="4" borderId="4" xfId="1" applyFont="1" applyFill="1" applyBorder="1" applyAlignment="1">
      <alignment horizontal="center" vertical="center" wrapText="1"/>
    </xf>
    <xf numFmtId="0" fontId="10" fillId="4" borderId="5" xfId="1" applyFont="1" applyFill="1" applyBorder="1" applyAlignment="1">
      <alignment horizontal="center" vertical="center" wrapText="1"/>
    </xf>
    <xf numFmtId="1" fontId="19" fillId="2" borderId="4" xfId="3" applyNumberFormat="1" applyFont="1" applyFill="1" applyBorder="1" applyAlignment="1">
      <alignment horizontal="center" vertical="center"/>
    </xf>
    <xf numFmtId="1" fontId="19" fillId="2" borderId="3" xfId="3" applyNumberFormat="1" applyFont="1" applyFill="1" applyBorder="1" applyAlignment="1">
      <alignment horizontal="center" vertical="center"/>
    </xf>
    <xf numFmtId="1" fontId="19" fillId="2" borderId="5" xfId="3" applyNumberFormat="1" applyFont="1" applyFill="1" applyBorder="1" applyAlignment="1">
      <alignment horizontal="center" vertical="center"/>
    </xf>
    <xf numFmtId="42" fontId="19" fillId="2" borderId="4" xfId="4" applyFont="1" applyFill="1" applyBorder="1" applyAlignment="1">
      <alignment horizontal="center" vertical="center"/>
    </xf>
    <xf numFmtId="42" fontId="19" fillId="2" borderId="3" xfId="4" applyFont="1" applyFill="1" applyBorder="1" applyAlignment="1">
      <alignment horizontal="center" vertical="center"/>
    </xf>
    <xf numFmtId="42" fontId="19" fillId="2" borderId="5" xfId="4" applyFont="1" applyFill="1" applyBorder="1" applyAlignment="1">
      <alignment horizontal="center" vertical="center"/>
    </xf>
    <xf numFmtId="0" fontId="19" fillId="2" borderId="4" xfId="1" applyFont="1" applyFill="1" applyBorder="1" applyAlignment="1">
      <alignment horizontal="left" vertical="center"/>
    </xf>
    <xf numFmtId="0" fontId="19" fillId="2" borderId="3" xfId="1" applyFont="1" applyFill="1" applyBorder="1" applyAlignment="1">
      <alignment horizontal="left" vertical="center"/>
    </xf>
    <xf numFmtId="0" fontId="13" fillId="4" borderId="4"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8"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39" fillId="2" borderId="4" xfId="1" applyFont="1" applyFill="1" applyBorder="1" applyAlignment="1">
      <alignment horizontal="center" vertical="center" wrapText="1"/>
    </xf>
    <xf numFmtId="0" fontId="39" fillId="2" borderId="3" xfId="1" applyFont="1" applyFill="1" applyBorder="1" applyAlignment="1">
      <alignment horizontal="center" vertical="center" wrapText="1"/>
    </xf>
    <xf numFmtId="0" fontId="39" fillId="2" borderId="5" xfId="1" applyFont="1" applyFill="1" applyBorder="1" applyAlignment="1">
      <alignment horizontal="center" vertical="center" wrapText="1"/>
    </xf>
    <xf numFmtId="178" fontId="19" fillId="2" borderId="4" xfId="1" applyNumberFormat="1" applyFont="1" applyFill="1" applyBorder="1" applyAlignment="1">
      <alignment horizontal="center" vertical="center"/>
    </xf>
    <xf numFmtId="178" fontId="19" fillId="2" borderId="3" xfId="1" applyNumberFormat="1" applyFont="1" applyFill="1" applyBorder="1" applyAlignment="1">
      <alignment horizontal="center" vertical="center"/>
    </xf>
    <xf numFmtId="178" fontId="19" fillId="2" borderId="5" xfId="1" applyNumberFormat="1" applyFont="1" applyFill="1" applyBorder="1" applyAlignment="1">
      <alignment horizontal="center" vertical="center"/>
    </xf>
    <xf numFmtId="169" fontId="19" fillId="2" borderId="4" xfId="3" applyNumberFormat="1" applyFont="1" applyFill="1" applyBorder="1" applyAlignment="1">
      <alignment horizontal="right" vertical="center"/>
    </xf>
    <xf numFmtId="169" fontId="19" fillId="2" borderId="3" xfId="3" applyNumberFormat="1" applyFont="1" applyFill="1" applyBorder="1" applyAlignment="1">
      <alignment horizontal="right" vertical="center"/>
    </xf>
    <xf numFmtId="169" fontId="19" fillId="2" borderId="5" xfId="3" applyNumberFormat="1" applyFont="1" applyFill="1" applyBorder="1" applyAlignment="1">
      <alignment horizontal="right" vertical="center"/>
    </xf>
    <xf numFmtId="0" fontId="2" fillId="0" borderId="0" xfId="0" applyFont="1" applyAlignment="1">
      <alignment horizontal="center" vertical="center"/>
    </xf>
    <xf numFmtId="0" fontId="13" fillId="0" borderId="2" xfId="0" applyFont="1" applyBorder="1" applyAlignment="1">
      <alignment horizontal="left" vertical="center"/>
    </xf>
    <xf numFmtId="0" fontId="19" fillId="2" borderId="4" xfId="1" applyFont="1" applyFill="1" applyBorder="1" applyAlignment="1">
      <alignment horizontal="center" vertical="center"/>
    </xf>
    <xf numFmtId="0" fontId="19" fillId="2" borderId="3" xfId="1" applyFont="1" applyFill="1" applyBorder="1" applyAlignment="1">
      <alignment horizontal="center" vertical="center"/>
    </xf>
    <xf numFmtId="0" fontId="19" fillId="2" borderId="5" xfId="1" applyFont="1" applyFill="1" applyBorder="1" applyAlignment="1">
      <alignment horizontal="center" vertical="center"/>
    </xf>
    <xf numFmtId="0" fontId="20" fillId="0" borderId="15" xfId="1" applyFont="1" applyBorder="1" applyAlignment="1">
      <alignment horizontal="center" vertical="center" wrapText="1"/>
    </xf>
    <xf numFmtId="0" fontId="20" fillId="0" borderId="17"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22"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20" xfId="1" applyFont="1" applyBorder="1" applyAlignment="1">
      <alignment horizontal="center" vertical="center" wrapText="1"/>
    </xf>
    <xf numFmtId="0" fontId="19" fillId="0" borderId="15" xfId="1" applyFont="1" applyBorder="1" applyAlignment="1">
      <alignment horizontal="center" vertical="center"/>
    </xf>
    <xf numFmtId="0" fontId="19" fillId="0" borderId="17" xfId="1" applyFont="1" applyBorder="1" applyAlignment="1">
      <alignment horizontal="center" vertical="center"/>
    </xf>
    <xf numFmtId="0" fontId="19" fillId="0" borderId="21" xfId="1" applyFont="1" applyBorder="1" applyAlignment="1">
      <alignment horizontal="center" vertical="center"/>
    </xf>
    <xf numFmtId="0" fontId="19" fillId="0" borderId="22" xfId="1" applyFont="1" applyBorder="1" applyAlignment="1">
      <alignment horizontal="center" vertical="center"/>
    </xf>
    <xf numFmtId="0" fontId="19" fillId="0" borderId="18" xfId="1" applyFont="1" applyBorder="1" applyAlignment="1">
      <alignment horizontal="center" vertical="center"/>
    </xf>
    <xf numFmtId="0" fontId="19" fillId="0" borderId="20" xfId="1" applyFont="1" applyBorder="1" applyAlignment="1">
      <alignment horizontal="center" vertical="center"/>
    </xf>
    <xf numFmtId="0" fontId="19" fillId="0" borderId="34" xfId="1" applyFont="1" applyBorder="1" applyAlignment="1">
      <alignment horizontal="center" vertical="center"/>
    </xf>
    <xf numFmtId="0" fontId="19" fillId="0" borderId="30" xfId="1" applyFont="1" applyBorder="1" applyAlignment="1">
      <alignment horizontal="center" vertical="center"/>
    </xf>
    <xf numFmtId="0" fontId="52" fillId="3" borderId="6"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28" fillId="0" borderId="14" xfId="0" applyFont="1" applyBorder="1" applyAlignment="1">
      <alignment horizontal="center" vertical="center" wrapText="1"/>
    </xf>
    <xf numFmtId="0" fontId="128" fillId="0" borderId="14" xfId="0" applyFont="1" applyBorder="1" applyAlignment="1">
      <alignment horizontal="center" vertical="center"/>
    </xf>
    <xf numFmtId="0" fontId="12" fillId="0" borderId="32"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206" xfId="0" applyFont="1" applyBorder="1" applyAlignment="1">
      <alignment horizontal="center" vertical="center"/>
    </xf>
    <xf numFmtId="0" fontId="12" fillId="19" borderId="14" xfId="0" applyFont="1" applyFill="1" applyBorder="1" applyAlignment="1">
      <alignment horizontal="center" vertical="center" wrapText="1"/>
    </xf>
    <xf numFmtId="0" fontId="12" fillId="0" borderId="26" xfId="0" applyFont="1" applyBorder="1" applyAlignment="1">
      <alignment horizontal="center" vertical="center" wrapText="1"/>
    </xf>
    <xf numFmtId="0" fontId="12" fillId="0" borderId="25" xfId="0" applyFont="1" applyBorder="1" applyAlignment="1">
      <alignment horizontal="center" vertical="center" wrapText="1"/>
    </xf>
    <xf numFmtId="0" fontId="12" fillId="19" borderId="16" xfId="0" applyFont="1" applyFill="1" applyBorder="1" applyAlignment="1">
      <alignment horizontal="center" vertical="center" wrapText="1"/>
    </xf>
    <xf numFmtId="9" fontId="12" fillId="0" borderId="0" xfId="2" applyFont="1" applyFill="1" applyBorder="1" applyAlignment="1">
      <alignment horizontal="center" vertical="center"/>
    </xf>
    <xf numFmtId="9" fontId="12" fillId="0" borderId="8" xfId="2" applyFont="1" applyFill="1" applyBorder="1" applyAlignment="1">
      <alignment horizontal="center" vertical="center"/>
    </xf>
    <xf numFmtId="0" fontId="12" fillId="0" borderId="9" xfId="0" applyFont="1" applyBorder="1" applyAlignment="1">
      <alignment horizontal="center" vertical="center"/>
    </xf>
    <xf numFmtId="0" fontId="12" fillId="4" borderId="4" xfId="0" applyFont="1" applyFill="1" applyBorder="1" applyAlignment="1">
      <alignment horizontal="center" vertical="center"/>
    </xf>
    <xf numFmtId="0" fontId="12" fillId="4" borderId="3" xfId="0" applyFont="1" applyFill="1" applyBorder="1" applyAlignment="1">
      <alignment horizontal="center" vertical="center"/>
    </xf>
    <xf numFmtId="9" fontId="12" fillId="10" borderId="4" xfId="0" applyNumberFormat="1" applyFont="1" applyFill="1" applyBorder="1" applyAlignment="1">
      <alignment horizontal="center" vertical="center"/>
    </xf>
    <xf numFmtId="0" fontId="12" fillId="10" borderId="5" xfId="0" applyFont="1" applyFill="1" applyBorder="1" applyAlignment="1">
      <alignment horizontal="center" vertical="center"/>
    </xf>
    <xf numFmtId="0" fontId="12" fillId="4" borderId="54" xfId="0" applyFont="1" applyFill="1" applyBorder="1" applyAlignment="1">
      <alignment horizontal="center" vertical="center"/>
    </xf>
    <xf numFmtId="0" fontId="12" fillId="4" borderId="56" xfId="0" applyFont="1" applyFill="1" applyBorder="1" applyAlignment="1">
      <alignment horizontal="center" vertical="center"/>
    </xf>
    <xf numFmtId="0" fontId="12" fillId="4" borderId="1" xfId="0" applyFont="1" applyFill="1" applyBorder="1" applyAlignment="1">
      <alignment horizontal="center" vertical="center"/>
    </xf>
    <xf numFmtId="0" fontId="52" fillId="3" borderId="10"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3" xfId="0" applyFont="1" applyFill="1" applyBorder="1" applyAlignment="1">
      <alignment horizontal="center" vertical="center" wrapText="1"/>
    </xf>
    <xf numFmtId="9" fontId="12" fillId="0" borderId="1" xfId="2" applyFont="1" applyFill="1" applyBorder="1" applyAlignment="1">
      <alignment horizontal="center" vertical="center"/>
    </xf>
    <xf numFmtId="9" fontId="12" fillId="0" borderId="10" xfId="2" applyFont="1" applyFill="1" applyBorder="1" applyAlignment="1">
      <alignment horizontal="center" vertical="center"/>
    </xf>
    <xf numFmtId="9" fontId="12" fillId="0" borderId="2" xfId="2" applyFont="1" applyFill="1" applyBorder="1" applyAlignment="1">
      <alignment horizontal="center" vertical="center"/>
    </xf>
    <xf numFmtId="9" fontId="12" fillId="0" borderId="6" xfId="2" applyFont="1" applyFill="1" applyBorder="1" applyAlignment="1">
      <alignment horizontal="center" vertical="center"/>
    </xf>
    <xf numFmtId="0" fontId="12" fillId="0" borderId="11" xfId="0" applyFont="1" applyBorder="1" applyAlignment="1">
      <alignment horizontal="center" vertical="center"/>
    </xf>
    <xf numFmtId="0" fontId="12" fillId="0" borderId="1" xfId="0" applyFont="1" applyBorder="1" applyAlignment="1">
      <alignment horizontal="center" vertical="center"/>
    </xf>
    <xf numFmtId="0" fontId="12" fillId="0" borderId="7" xfId="0" applyFont="1" applyBorder="1" applyAlignment="1">
      <alignment horizontal="center" vertical="center"/>
    </xf>
    <xf numFmtId="0" fontId="12" fillId="0" borderId="2" xfId="0" applyFont="1" applyBorder="1" applyAlignment="1">
      <alignment horizontal="center" vertical="center"/>
    </xf>
    <xf numFmtId="168" fontId="12" fillId="10" borderId="4" xfId="0" applyNumberFormat="1" applyFont="1" applyFill="1" applyBorder="1" applyAlignment="1">
      <alignment horizontal="center" vertical="center"/>
    </xf>
    <xf numFmtId="168" fontId="12" fillId="10" borderId="3" xfId="0" applyNumberFormat="1" applyFont="1" applyFill="1" applyBorder="1" applyAlignment="1">
      <alignment horizontal="center" vertical="center"/>
    </xf>
    <xf numFmtId="0" fontId="18" fillId="6" borderId="4" xfId="0" applyFont="1" applyFill="1" applyBorder="1" applyAlignment="1">
      <alignment horizontal="left" vertical="center" wrapText="1"/>
    </xf>
    <xf numFmtId="0" fontId="18" fillId="6" borderId="3" xfId="0" applyFont="1" applyFill="1" applyBorder="1" applyAlignment="1">
      <alignment horizontal="left" vertical="center" wrapText="1"/>
    </xf>
    <xf numFmtId="0" fontId="18" fillId="6" borderId="1" xfId="0" applyFont="1" applyFill="1" applyBorder="1" applyAlignment="1">
      <alignment horizontal="left" vertical="center" wrapText="1"/>
    </xf>
    <xf numFmtId="0" fontId="18" fillId="6" borderId="5" xfId="0" applyFont="1" applyFill="1" applyBorder="1" applyAlignment="1">
      <alignment horizontal="left" vertical="center" wrapText="1"/>
    </xf>
    <xf numFmtId="0" fontId="119" fillId="15" borderId="0" xfId="0" applyFont="1" applyFill="1" applyAlignment="1">
      <alignment horizontal="center" vertical="center" wrapText="1"/>
    </xf>
    <xf numFmtId="0" fontId="18" fillId="5" borderId="11" xfId="1" applyFont="1" applyFill="1" applyBorder="1" applyAlignment="1">
      <alignment horizontal="left" vertical="center" wrapText="1"/>
    </xf>
    <xf numFmtId="0" fontId="18" fillId="5" borderId="1" xfId="1" applyFont="1" applyFill="1" applyBorder="1" applyAlignment="1">
      <alignment horizontal="left" vertical="center" wrapText="1"/>
    </xf>
    <xf numFmtId="0" fontId="18" fillId="5" borderId="10" xfId="1" applyFont="1" applyFill="1" applyBorder="1" applyAlignment="1">
      <alignment horizontal="left" vertical="center" wrapText="1"/>
    </xf>
    <xf numFmtId="0" fontId="7" fillId="6" borderId="7" xfId="0" applyFont="1" applyFill="1" applyBorder="1" applyAlignment="1">
      <alignment horizontal="center" vertical="center"/>
    </xf>
    <xf numFmtId="0" fontId="7" fillId="6" borderId="2" xfId="0" applyFont="1" applyFill="1" applyBorder="1" applyAlignment="1">
      <alignment horizontal="center" vertical="center"/>
    </xf>
    <xf numFmtId="0" fontId="7" fillId="6" borderId="6" xfId="0" applyFont="1" applyFill="1" applyBorder="1" applyAlignment="1">
      <alignment horizontal="center" vertical="center"/>
    </xf>
    <xf numFmtId="0" fontId="19" fillId="4" borderId="11" xfId="1" applyFont="1" applyFill="1" applyBorder="1" applyAlignment="1">
      <alignment horizontal="center" vertical="center" wrapText="1"/>
    </xf>
    <xf numFmtId="0" fontId="19" fillId="4" borderId="10" xfId="1" applyFont="1" applyFill="1" applyBorder="1" applyAlignment="1">
      <alignment horizontal="center" vertical="center" wrapText="1"/>
    </xf>
    <xf numFmtId="0" fontId="19" fillId="4" borderId="9" xfId="1" applyFont="1" applyFill="1" applyBorder="1" applyAlignment="1">
      <alignment horizontal="center" vertical="center" wrapText="1"/>
    </xf>
    <xf numFmtId="0" fontId="19" fillId="4" borderId="8" xfId="1" applyFont="1" applyFill="1" applyBorder="1" applyAlignment="1">
      <alignment horizontal="center" vertical="center" wrapText="1"/>
    </xf>
    <xf numFmtId="0" fontId="19" fillId="4" borderId="7" xfId="1" applyFont="1" applyFill="1" applyBorder="1" applyAlignment="1">
      <alignment horizontal="center" vertical="center" wrapText="1"/>
    </xf>
    <xf numFmtId="0" fontId="19" fillId="4" borderId="6" xfId="1" applyFont="1" applyFill="1" applyBorder="1" applyAlignment="1">
      <alignment horizontal="center" vertical="center" wrapText="1"/>
    </xf>
    <xf numFmtId="0" fontId="19" fillId="4" borderId="1" xfId="1" applyFont="1" applyFill="1" applyBorder="1" applyAlignment="1">
      <alignment horizontal="center" vertical="center" wrapText="1"/>
    </xf>
    <xf numFmtId="0" fontId="19" fillId="4" borderId="2" xfId="1" applyFont="1" applyFill="1" applyBorder="1" applyAlignment="1">
      <alignment horizontal="center" vertical="center" wrapText="1"/>
    </xf>
    <xf numFmtId="0" fontId="60" fillId="4" borderId="4" xfId="1" applyFont="1" applyFill="1" applyBorder="1" applyAlignment="1">
      <alignment horizontal="left" vertical="center"/>
    </xf>
    <xf numFmtId="0" fontId="60" fillId="4" borderId="5" xfId="1" applyFont="1" applyFill="1" applyBorder="1" applyAlignment="1">
      <alignment horizontal="left" vertical="center"/>
    </xf>
    <xf numFmtId="0" fontId="60" fillId="18" borderId="4" xfId="0" applyFont="1" applyFill="1" applyBorder="1" applyAlignment="1">
      <alignment horizontal="center" vertical="center"/>
    </xf>
    <xf numFmtId="0" fontId="60" fillId="18" borderId="3" xfId="0" applyFont="1" applyFill="1" applyBorder="1" applyAlignment="1">
      <alignment horizontal="center" vertical="center"/>
    </xf>
    <xf numFmtId="0" fontId="60" fillId="18" borderId="5" xfId="0" applyFont="1" applyFill="1" applyBorder="1" applyAlignment="1">
      <alignment horizontal="center" vertical="center"/>
    </xf>
    <xf numFmtId="0" fontId="60" fillId="4" borderId="4" xfId="1" applyFont="1" applyFill="1" applyBorder="1" applyAlignment="1">
      <alignment horizontal="left" vertical="center" wrapText="1"/>
    </xf>
    <xf numFmtId="0" fontId="60" fillId="4" borderId="5" xfId="1" applyFont="1" applyFill="1" applyBorder="1" applyAlignment="1">
      <alignment horizontal="left" vertical="center" wrapText="1"/>
    </xf>
    <xf numFmtId="179" fontId="62" fillId="0" borderId="4" xfId="0" applyNumberFormat="1" applyFont="1" applyBorder="1" applyAlignment="1">
      <alignment horizontal="center" vertical="center"/>
    </xf>
    <xf numFmtId="0" fontId="62" fillId="0" borderId="3" xfId="0" applyFont="1" applyBorder="1" applyAlignment="1">
      <alignment horizontal="center" vertical="center"/>
    </xf>
    <xf numFmtId="0" fontId="62" fillId="0" borderId="5" xfId="0" applyFont="1" applyBorder="1" applyAlignment="1">
      <alignment horizontal="center" vertical="center"/>
    </xf>
    <xf numFmtId="165" fontId="60" fillId="2" borderId="4" xfId="1" applyNumberFormat="1" applyFont="1" applyFill="1" applyBorder="1" applyAlignment="1">
      <alignment horizontal="center" vertical="center"/>
    </xf>
    <xf numFmtId="165" fontId="60" fillId="2" borderId="3" xfId="1" applyNumberFormat="1" applyFont="1" applyFill="1" applyBorder="1" applyAlignment="1">
      <alignment horizontal="center" vertical="center"/>
    </xf>
    <xf numFmtId="165" fontId="60" fillId="2" borderId="5" xfId="1" applyNumberFormat="1" applyFont="1" applyFill="1" applyBorder="1" applyAlignment="1">
      <alignment horizontal="center" vertical="center"/>
    </xf>
    <xf numFmtId="0" fontId="7" fillId="0" borderId="27" xfId="0" applyFont="1" applyBorder="1" applyAlignment="1">
      <alignment horizontal="center" vertical="center"/>
    </xf>
    <xf numFmtId="0" fontId="7" fillId="0" borderId="36" xfId="0" applyFont="1" applyBorder="1" applyAlignment="1">
      <alignment horizontal="center" vertical="center"/>
    </xf>
    <xf numFmtId="0" fontId="7" fillId="0" borderId="38" xfId="0" applyFont="1" applyBorder="1" applyAlignment="1">
      <alignment horizontal="center" vertical="center"/>
    </xf>
    <xf numFmtId="0" fontId="18" fillId="5" borderId="4" xfId="1" applyFont="1" applyFill="1" applyBorder="1" applyAlignment="1">
      <alignment horizontal="left" vertical="center" wrapText="1"/>
    </xf>
    <xf numFmtId="0" fontId="18" fillId="5" borderId="3" xfId="1" applyFont="1" applyFill="1" applyBorder="1" applyAlignment="1">
      <alignment horizontal="left" vertical="center" wrapText="1"/>
    </xf>
    <xf numFmtId="0" fontId="7" fillId="0" borderId="39" xfId="0" applyFont="1" applyBorder="1" applyAlignment="1">
      <alignment horizontal="center" vertical="center"/>
    </xf>
    <xf numFmtId="0" fontId="7" fillId="0" borderId="32" xfId="0" applyFont="1" applyBorder="1" applyAlignment="1">
      <alignment horizontal="center" vertical="center"/>
    </xf>
    <xf numFmtId="0" fontId="12" fillId="17" borderId="14" xfId="0" applyFont="1" applyFill="1" applyBorder="1" applyAlignment="1">
      <alignment horizontal="center" vertical="center"/>
    </xf>
    <xf numFmtId="167" fontId="19" fillId="10" borderId="4" xfId="1" applyNumberFormat="1" applyFont="1" applyFill="1" applyBorder="1" applyAlignment="1">
      <alignment horizontal="center" vertical="center"/>
    </xf>
    <xf numFmtId="167" fontId="19" fillId="10" borderId="5" xfId="1" applyNumberFormat="1" applyFont="1" applyFill="1" applyBorder="1" applyAlignment="1">
      <alignment horizontal="center" vertical="center"/>
    </xf>
    <xf numFmtId="0" fontId="12" fillId="4" borderId="5" xfId="0" applyFont="1" applyFill="1" applyBorder="1" applyAlignment="1">
      <alignment horizontal="center" vertical="center"/>
    </xf>
    <xf numFmtId="0" fontId="60" fillId="4" borderId="4" xfId="1" applyFont="1" applyFill="1" applyBorder="1" applyAlignment="1">
      <alignment vertical="center" wrapText="1"/>
    </xf>
    <xf numFmtId="0" fontId="60" fillId="4" borderId="5" xfId="1" applyFont="1" applyFill="1" applyBorder="1" applyAlignment="1">
      <alignment vertical="center" wrapText="1"/>
    </xf>
    <xf numFmtId="0" fontId="12" fillId="0" borderId="10" xfId="0" applyFont="1" applyBorder="1" applyAlignment="1">
      <alignment horizontal="left" vertical="center"/>
    </xf>
    <xf numFmtId="0" fontId="60" fillId="18" borderId="4" xfId="1" applyFont="1" applyFill="1" applyBorder="1" applyAlignment="1">
      <alignment horizontal="center" vertical="center" wrapText="1"/>
    </xf>
    <xf numFmtId="0" fontId="60" fillId="18" borderId="3" xfId="1" applyFont="1" applyFill="1" applyBorder="1" applyAlignment="1">
      <alignment horizontal="center" vertical="center" wrapText="1"/>
    </xf>
    <xf numFmtId="0" fontId="60" fillId="18" borderId="5" xfId="1" applyFont="1" applyFill="1" applyBorder="1" applyAlignment="1">
      <alignment horizontal="center" vertical="center" wrapText="1"/>
    </xf>
    <xf numFmtId="171" fontId="60" fillId="2" borderId="4" xfId="6" applyNumberFormat="1" applyFont="1" applyFill="1" applyBorder="1" applyAlignment="1">
      <alignment horizontal="center" vertical="center"/>
    </xf>
    <xf numFmtId="171" fontId="60" fillId="2" borderId="3" xfId="6" applyNumberFormat="1" applyFont="1" applyFill="1" applyBorder="1" applyAlignment="1">
      <alignment horizontal="center" vertical="center"/>
    </xf>
    <xf numFmtId="171" fontId="60" fillId="2" borderId="5" xfId="6" applyNumberFormat="1" applyFont="1" applyFill="1" applyBorder="1" applyAlignment="1">
      <alignment horizontal="center" vertical="center"/>
    </xf>
    <xf numFmtId="0" fontId="35" fillId="0" borderId="0" xfId="0" applyFont="1" applyAlignment="1">
      <alignment horizontal="center" vertical="center"/>
    </xf>
    <xf numFmtId="0" fontId="18" fillId="5" borderId="5" xfId="1" applyFont="1" applyFill="1" applyBorder="1" applyAlignment="1">
      <alignment horizontal="left" vertical="center" wrapText="1"/>
    </xf>
    <xf numFmtId="0" fontId="7" fillId="0" borderId="33" xfId="0" applyFont="1" applyBorder="1" applyAlignment="1">
      <alignment horizontal="center" vertical="center"/>
    </xf>
    <xf numFmtId="0" fontId="7" fillId="0" borderId="28"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12" fillId="0" borderId="2" xfId="0" applyFont="1" applyBorder="1" applyAlignment="1">
      <alignment horizontal="left" vertical="center"/>
    </xf>
    <xf numFmtId="0" fontId="7" fillId="0" borderId="25" xfId="0" applyFont="1" applyBorder="1" applyAlignment="1">
      <alignment horizontal="center" vertical="center"/>
    </xf>
    <xf numFmtId="0" fontId="7" fillId="0" borderId="26" xfId="0" applyFont="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21" xfId="0" applyFont="1" applyBorder="1" applyAlignment="1">
      <alignment horizontal="center" vertical="center"/>
    </xf>
    <xf numFmtId="0" fontId="7" fillId="0" borderId="14" xfId="0" applyFont="1" applyBorder="1" applyAlignment="1">
      <alignment horizontal="center" vertical="center"/>
    </xf>
    <xf numFmtId="0" fontId="7" fillId="0" borderId="22" xfId="0" applyFont="1" applyBorder="1" applyAlignment="1">
      <alignment horizontal="center" vertical="center"/>
    </xf>
    <xf numFmtId="179" fontId="62" fillId="0" borderId="3" xfId="0" applyNumberFormat="1" applyFont="1" applyBorder="1" applyAlignment="1">
      <alignment horizontal="center" vertical="center"/>
    </xf>
    <xf numFmtId="179" fontId="62" fillId="0" borderId="5" xfId="0" applyNumberFormat="1" applyFont="1" applyBorder="1" applyAlignment="1">
      <alignment horizontal="center" vertical="center"/>
    </xf>
    <xf numFmtId="0" fontId="60" fillId="0" borderId="4" xfId="1" applyFont="1" applyBorder="1" applyAlignment="1">
      <alignment horizontal="center" vertical="center" wrapText="1"/>
    </xf>
    <xf numFmtId="0" fontId="60" fillId="0" borderId="3" xfId="1" applyFont="1" applyBorder="1" applyAlignment="1">
      <alignment horizontal="center" vertical="center" wrapText="1"/>
    </xf>
    <xf numFmtId="0" fontId="60" fillId="0" borderId="5" xfId="1" applyFont="1" applyBorder="1" applyAlignment="1">
      <alignment horizontal="center" vertical="center" wrapText="1"/>
    </xf>
    <xf numFmtId="0" fontId="12" fillId="0" borderId="22" xfId="0" applyFont="1" applyBorder="1" applyAlignment="1">
      <alignment horizontal="left" vertical="center"/>
    </xf>
    <xf numFmtId="0" fontId="12" fillId="0" borderId="20" xfId="0" applyFont="1" applyBorder="1" applyAlignment="1">
      <alignment horizontal="left" vertical="center"/>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wrapText="1"/>
    </xf>
    <xf numFmtId="0" fontId="47" fillId="15" borderId="9" xfId="0" applyFont="1" applyFill="1" applyBorder="1" applyAlignment="1">
      <alignment horizontal="center" vertical="center" wrapText="1"/>
    </xf>
    <xf numFmtId="0" fontId="47" fillId="15" borderId="0" xfId="0" applyFont="1" applyFill="1" applyAlignment="1">
      <alignment horizontal="center"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wrapText="1"/>
    </xf>
    <xf numFmtId="0" fontId="7" fillId="0" borderId="8" xfId="0" applyFont="1" applyBorder="1" applyAlignment="1">
      <alignment horizontal="center" vertical="center" wrapText="1"/>
    </xf>
    <xf numFmtId="0" fontId="14" fillId="0" borderId="78" xfId="0" applyFont="1" applyBorder="1" applyAlignment="1">
      <alignment horizontal="left" vertical="top" wrapText="1"/>
    </xf>
    <xf numFmtId="0" fontId="14" fillId="0" borderId="0" xfId="0" applyFont="1" applyAlignment="1">
      <alignment horizontal="left" vertical="top" wrapText="1"/>
    </xf>
    <xf numFmtId="0" fontId="12" fillId="0" borderId="55" xfId="0" applyFont="1" applyBorder="1" applyAlignment="1">
      <alignment horizontal="center" vertical="center"/>
    </xf>
    <xf numFmtId="0" fontId="12" fillId="0" borderId="53" xfId="0" applyFont="1" applyBorder="1" applyAlignment="1">
      <alignment horizontal="center" vertical="center"/>
    </xf>
    <xf numFmtId="164" fontId="12" fillId="0" borderId="27" xfId="3" applyFont="1" applyFill="1" applyBorder="1" applyAlignment="1">
      <alignment horizontal="center" vertical="center" wrapText="1"/>
    </xf>
    <xf numFmtId="164" fontId="12" fillId="0" borderId="32" xfId="3" applyFont="1" applyFill="1" applyBorder="1" applyAlignment="1">
      <alignment horizontal="center"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14" fontId="7" fillId="10" borderId="4" xfId="0" applyNumberFormat="1" applyFont="1" applyFill="1" applyBorder="1" applyAlignment="1">
      <alignment horizontal="center" vertical="center"/>
    </xf>
    <xf numFmtId="14" fontId="7" fillId="10" borderId="3" xfId="0" applyNumberFormat="1" applyFont="1" applyFill="1" applyBorder="1" applyAlignment="1">
      <alignment horizontal="center" vertical="center"/>
    </xf>
    <xf numFmtId="14" fontId="7" fillId="10" borderId="5" xfId="0" applyNumberFormat="1" applyFont="1" applyFill="1" applyBorder="1" applyAlignment="1">
      <alignment horizontal="center" vertical="center"/>
    </xf>
    <xf numFmtId="0" fontId="19" fillId="4" borderId="3" xfId="1" applyFont="1" applyFill="1" applyBorder="1" applyAlignment="1">
      <alignment horizontal="center" vertical="center" wrapText="1"/>
    </xf>
    <xf numFmtId="0" fontId="36" fillId="9" borderId="4" xfId="0" applyFont="1" applyFill="1" applyBorder="1" applyAlignment="1">
      <alignment horizontal="left" vertical="center" wrapText="1"/>
    </xf>
    <xf numFmtId="0" fontId="36" fillId="9" borderId="3" xfId="0" applyFont="1" applyFill="1" applyBorder="1" applyAlignment="1">
      <alignment horizontal="left" vertical="center" wrapText="1"/>
    </xf>
    <xf numFmtId="0" fontId="36" fillId="9" borderId="5" xfId="0" applyFont="1" applyFill="1" applyBorder="1" applyAlignment="1">
      <alignment horizontal="left" vertical="center" wrapText="1"/>
    </xf>
    <xf numFmtId="0" fontId="7" fillId="0" borderId="61" xfId="0" applyFont="1" applyBorder="1" applyAlignment="1">
      <alignment horizontal="left" vertical="center" wrapText="1"/>
    </xf>
    <xf numFmtId="0" fontId="7" fillId="0" borderId="61" xfId="0" applyFont="1" applyBorder="1" applyAlignment="1">
      <alignment horizontal="left" vertical="center"/>
    </xf>
    <xf numFmtId="0" fontId="7" fillId="0" borderId="61" xfId="0" applyFont="1" applyBorder="1" applyAlignment="1">
      <alignment horizontal="center" vertical="center" wrapText="1"/>
    </xf>
    <xf numFmtId="0" fontId="7" fillId="0" borderId="61" xfId="0" applyFont="1" applyBorder="1" applyAlignment="1">
      <alignment horizontal="center" vertical="center"/>
    </xf>
    <xf numFmtId="0" fontId="36" fillId="0" borderId="4"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12" fillId="4" borderId="11" xfId="0" applyFont="1" applyFill="1" applyBorder="1" applyAlignment="1">
      <alignment horizontal="center" vertical="center"/>
    </xf>
    <xf numFmtId="0" fontId="12" fillId="4" borderId="10" xfId="0" applyFont="1" applyFill="1" applyBorder="1" applyAlignment="1">
      <alignment horizontal="center" vertical="center"/>
    </xf>
    <xf numFmtId="0" fontId="7" fillId="0" borderId="62" xfId="0" applyFont="1" applyBorder="1" applyAlignment="1">
      <alignment horizontal="left" vertical="center" wrapText="1"/>
    </xf>
    <xf numFmtId="0" fontId="7" fillId="0" borderId="64" xfId="0" applyFont="1" applyBorder="1" applyAlignment="1">
      <alignment horizontal="left" vertical="center" wrapText="1"/>
    </xf>
    <xf numFmtId="0" fontId="7" fillId="0" borderId="63" xfId="0" applyFont="1" applyBorder="1" applyAlignment="1">
      <alignment horizontal="left" vertical="center" wrapText="1"/>
    </xf>
    <xf numFmtId="0" fontId="14" fillId="0" borderId="60" xfId="0" applyFont="1" applyBorder="1" applyAlignment="1">
      <alignment horizontal="left" vertical="top" wrapText="1"/>
    </xf>
    <xf numFmtId="0" fontId="14" fillId="0" borderId="58" xfId="0" applyFont="1" applyBorder="1" applyAlignment="1">
      <alignment horizontal="left" vertical="top" wrapText="1"/>
    </xf>
    <xf numFmtId="0" fontId="14" fillId="0" borderId="59" xfId="0" applyFont="1" applyBorder="1" applyAlignment="1">
      <alignment horizontal="left" vertical="top" wrapText="1"/>
    </xf>
    <xf numFmtId="0" fontId="19" fillId="7" borderId="48" xfId="0" applyFont="1" applyFill="1" applyBorder="1" applyAlignment="1">
      <alignment horizontal="center" vertical="center" wrapText="1"/>
    </xf>
    <xf numFmtId="0" fontId="19" fillId="7" borderId="49" xfId="0" applyFont="1" applyFill="1" applyBorder="1" applyAlignment="1">
      <alignment horizontal="center" vertical="center" wrapText="1"/>
    </xf>
    <xf numFmtId="0" fontId="7" fillId="0" borderId="51" xfId="0" applyFont="1" applyBorder="1" applyAlignment="1">
      <alignment horizontal="center" vertical="center"/>
    </xf>
    <xf numFmtId="0" fontId="7" fillId="0" borderId="52" xfId="0" applyFont="1" applyBorder="1" applyAlignment="1">
      <alignment horizontal="center" vertical="center"/>
    </xf>
    <xf numFmtId="0" fontId="12" fillId="0" borderId="51" xfId="0" applyFont="1" applyBorder="1" applyAlignment="1">
      <alignment horizontal="center" vertical="center"/>
    </xf>
    <xf numFmtId="0" fontId="12" fillId="0" borderId="52" xfId="0" applyFont="1" applyBorder="1" applyAlignment="1">
      <alignment horizontal="center" vertical="center"/>
    </xf>
    <xf numFmtId="0" fontId="12" fillId="0" borderId="1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6"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36" fillId="9" borderId="11" xfId="0" applyFont="1" applyFill="1" applyBorder="1" applyAlignment="1">
      <alignment horizontal="left" vertical="center" wrapText="1"/>
    </xf>
    <xf numFmtId="0" fontId="36" fillId="9" borderId="1" xfId="0" applyFont="1" applyFill="1" applyBorder="1" applyAlignment="1">
      <alignment horizontal="left" vertical="center" wrapText="1"/>
    </xf>
    <xf numFmtId="0" fontId="36" fillId="9" borderId="10" xfId="0" applyFont="1" applyFill="1" applyBorder="1" applyAlignment="1">
      <alignment horizontal="left" vertical="center" wrapText="1"/>
    </xf>
    <xf numFmtId="0" fontId="12" fillId="0" borderId="201" xfId="0" applyFont="1" applyBorder="1" applyAlignment="1">
      <alignment horizontal="center" vertical="center"/>
    </xf>
    <xf numFmtId="0" fontId="12" fillId="0" borderId="202" xfId="0" applyFont="1" applyBorder="1" applyAlignment="1">
      <alignment horizontal="center" vertical="center"/>
    </xf>
    <xf numFmtId="0" fontId="12" fillId="0" borderId="203" xfId="0" applyFont="1" applyBorder="1" applyAlignment="1">
      <alignment horizontal="center" vertical="center"/>
    </xf>
    <xf numFmtId="0" fontId="12" fillId="0" borderId="204" xfId="0" applyFont="1" applyBorder="1" applyAlignment="1">
      <alignment horizontal="center" vertical="center"/>
    </xf>
    <xf numFmtId="0" fontId="130" fillId="0" borderId="0" xfId="0" applyFont="1" applyAlignment="1">
      <alignment horizontal="center" vertical="center"/>
    </xf>
    <xf numFmtId="0" fontId="42" fillId="0" borderId="14" xfId="0" applyFont="1" applyBorder="1" applyAlignment="1">
      <alignment horizontal="center" vertical="center" wrapText="1"/>
    </xf>
    <xf numFmtId="0" fontId="42" fillId="0" borderId="22"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2" xfId="0" applyFont="1" applyBorder="1" applyAlignment="1">
      <alignment horizontal="center" vertical="center" wrapText="1"/>
    </xf>
    <xf numFmtId="0" fontId="12" fillId="0" borderId="200" xfId="0" applyFont="1" applyBorder="1" applyAlignment="1">
      <alignment horizontal="center" vertical="center" wrapText="1"/>
    </xf>
    <xf numFmtId="0" fontId="12" fillId="0" borderId="205" xfId="0" applyFont="1" applyBorder="1" applyAlignment="1">
      <alignment horizontal="center" vertical="center"/>
    </xf>
    <xf numFmtId="0" fontId="42" fillId="0" borderId="27"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7" xfId="0" applyFont="1" applyBorder="1" applyAlignment="1">
      <alignment horizontal="center" vertical="center"/>
    </xf>
    <xf numFmtId="0" fontId="19" fillId="7" borderId="54" xfId="0" applyFont="1" applyFill="1" applyBorder="1" applyAlignment="1">
      <alignment horizontal="center" vertical="center" wrapText="1"/>
    </xf>
    <xf numFmtId="0" fontId="19" fillId="7" borderId="1"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60" fillId="4" borderId="4" xfId="1" applyFont="1" applyFill="1" applyBorder="1" applyAlignment="1">
      <alignment horizontal="center" vertical="center"/>
    </xf>
    <xf numFmtId="0" fontId="60" fillId="4" borderId="5" xfId="1" applyFont="1" applyFill="1" applyBorder="1" applyAlignment="1">
      <alignment horizontal="center" vertical="center"/>
    </xf>
    <xf numFmtId="0" fontId="61" fillId="18" borderId="4" xfId="0" applyFont="1" applyFill="1" applyBorder="1" applyAlignment="1">
      <alignment horizontal="center" vertical="center"/>
    </xf>
    <xf numFmtId="0" fontId="61" fillId="18" borderId="3" xfId="0" applyFont="1" applyFill="1" applyBorder="1" applyAlignment="1">
      <alignment horizontal="center" vertical="center"/>
    </xf>
    <xf numFmtId="0" fontId="61" fillId="18" borderId="5" xfId="0" applyFont="1" applyFill="1" applyBorder="1" applyAlignment="1">
      <alignment horizontal="center" vertical="center"/>
    </xf>
    <xf numFmtId="0" fontId="6" fillId="4" borderId="4" xfId="1" applyFont="1" applyFill="1" applyBorder="1" applyAlignment="1">
      <alignment horizontal="center" vertical="center" wrapText="1"/>
    </xf>
    <xf numFmtId="0" fontId="6" fillId="4" borderId="5" xfId="1" applyFont="1" applyFill="1" applyBorder="1" applyAlignment="1">
      <alignment horizontal="center" vertical="center" wrapText="1"/>
    </xf>
    <xf numFmtId="165" fontId="61" fillId="0" borderId="4" xfId="0" applyNumberFormat="1" applyFont="1" applyBorder="1" applyAlignment="1">
      <alignment horizontal="center" vertical="center"/>
    </xf>
    <xf numFmtId="165" fontId="61" fillId="0" borderId="3" xfId="0" applyNumberFormat="1" applyFont="1" applyBorder="1" applyAlignment="1">
      <alignment horizontal="center" vertical="center"/>
    </xf>
    <xf numFmtId="165" fontId="61" fillId="0" borderId="5" xfId="0" applyNumberFormat="1" applyFont="1" applyBorder="1" applyAlignment="1">
      <alignment horizontal="center" vertical="center"/>
    </xf>
    <xf numFmtId="0" fontId="60" fillId="4" borderId="4" xfId="1" applyFont="1" applyFill="1" applyBorder="1" applyAlignment="1">
      <alignment horizontal="center" vertical="center" wrapText="1"/>
    </xf>
    <xf numFmtId="0" fontId="60" fillId="4" borderId="5" xfId="1" applyFont="1" applyFill="1" applyBorder="1" applyAlignment="1">
      <alignment horizontal="center" vertical="center" wrapText="1"/>
    </xf>
    <xf numFmtId="9" fontId="61" fillId="18" borderId="4" xfId="2" applyFont="1" applyFill="1" applyBorder="1" applyAlignment="1">
      <alignment horizontal="center" vertical="center"/>
    </xf>
    <xf numFmtId="9" fontId="61" fillId="18" borderId="3" xfId="2" applyFont="1" applyFill="1" applyBorder="1" applyAlignment="1">
      <alignment horizontal="center" vertical="center"/>
    </xf>
    <xf numFmtId="9" fontId="61" fillId="18" borderId="5" xfId="2" applyFont="1" applyFill="1" applyBorder="1" applyAlignment="1">
      <alignment horizontal="center" vertical="center"/>
    </xf>
    <xf numFmtId="165" fontId="61" fillId="18" borderId="4" xfId="0" applyNumberFormat="1" applyFont="1" applyFill="1" applyBorder="1" applyAlignment="1">
      <alignment horizontal="center" vertical="center"/>
    </xf>
    <xf numFmtId="165" fontId="61" fillId="18" borderId="3" xfId="0" applyNumberFormat="1" applyFont="1" applyFill="1" applyBorder="1" applyAlignment="1">
      <alignment horizontal="center" vertical="center"/>
    </xf>
    <xf numFmtId="165" fontId="61" fillId="18" borderId="5" xfId="0" applyNumberFormat="1" applyFont="1" applyFill="1" applyBorder="1" applyAlignment="1">
      <alignment horizontal="center" vertical="center"/>
    </xf>
    <xf numFmtId="14" fontId="61" fillId="18" borderId="4" xfId="0" applyNumberFormat="1" applyFont="1" applyFill="1" applyBorder="1" applyAlignment="1">
      <alignment horizontal="center" vertical="center"/>
    </xf>
    <xf numFmtId="14" fontId="61" fillId="18" borderId="3" xfId="0" applyNumberFormat="1" applyFont="1" applyFill="1" applyBorder="1" applyAlignment="1">
      <alignment horizontal="center" vertical="center"/>
    </xf>
    <xf numFmtId="0" fontId="61" fillId="0" borderId="4" xfId="0" applyFont="1" applyBorder="1" applyAlignment="1">
      <alignment horizontal="center" vertical="center"/>
    </xf>
    <xf numFmtId="0" fontId="61" fillId="0" borderId="3" xfId="0" applyFont="1" applyBorder="1" applyAlignment="1">
      <alignment horizontal="center" vertical="center"/>
    </xf>
    <xf numFmtId="0" fontId="61" fillId="0" borderId="5" xfId="0" applyFont="1" applyBorder="1" applyAlignment="1">
      <alignment horizontal="center" vertical="center"/>
    </xf>
    <xf numFmtId="0" fontId="12" fillId="0" borderId="10" xfId="0" applyFont="1" applyBorder="1" applyAlignment="1">
      <alignment horizontal="center" vertical="center"/>
    </xf>
    <xf numFmtId="0" fontId="12" fillId="0" borderId="44" xfId="0" applyFont="1" applyBorder="1" applyAlignment="1">
      <alignment horizontal="center" vertical="center"/>
    </xf>
    <xf numFmtId="0" fontId="12" fillId="0" borderId="24" xfId="0" applyFont="1" applyBorder="1" applyAlignment="1">
      <alignment horizontal="center" vertical="center"/>
    </xf>
    <xf numFmtId="0" fontId="12" fillId="0" borderId="23" xfId="0" applyFont="1" applyBorder="1" applyAlignment="1">
      <alignment horizontal="center" vertical="center"/>
    </xf>
    <xf numFmtId="0" fontId="14" fillId="0" borderId="27" xfId="0" applyFont="1" applyBorder="1" applyAlignment="1">
      <alignment horizontal="left" vertical="top" wrapText="1"/>
    </xf>
    <xf numFmtId="0" fontId="14" fillId="0" borderId="36" xfId="0" applyFont="1" applyBorder="1" applyAlignment="1">
      <alignment horizontal="left" vertical="top" wrapText="1"/>
    </xf>
    <xf numFmtId="0" fontId="14" fillId="0" borderId="32" xfId="0" applyFont="1" applyBorder="1" applyAlignment="1">
      <alignment horizontal="left" vertical="top" wrapText="1"/>
    </xf>
    <xf numFmtId="0" fontId="55" fillId="0" borderId="27" xfId="1" applyFont="1" applyBorder="1" applyAlignment="1">
      <alignment horizontal="center" vertical="center" wrapText="1"/>
    </xf>
    <xf numFmtId="0" fontId="55" fillId="0" borderId="36" xfId="1" applyFont="1" applyBorder="1" applyAlignment="1">
      <alignment horizontal="center" vertical="center" wrapText="1"/>
    </xf>
    <xf numFmtId="0" fontId="55" fillId="0" borderId="38" xfId="1" applyFont="1" applyBorder="1" applyAlignment="1">
      <alignment horizontal="center" vertical="center" wrapText="1"/>
    </xf>
    <xf numFmtId="0" fontId="55" fillId="0" borderId="39" xfId="1" applyFont="1" applyBorder="1" applyAlignment="1">
      <alignment horizontal="center" vertical="center" wrapText="1"/>
    </xf>
    <xf numFmtId="0" fontId="55" fillId="0" borderId="32" xfId="1" applyFont="1" applyBorder="1" applyAlignment="1">
      <alignment horizontal="center" vertical="center" wrapText="1"/>
    </xf>
    <xf numFmtId="0" fontId="12" fillId="0" borderId="27" xfId="0" applyFont="1" applyBorder="1" applyAlignment="1">
      <alignment horizontal="left" vertical="center"/>
    </xf>
    <xf numFmtId="0" fontId="42" fillId="2" borderId="60" xfId="0" applyFont="1" applyFill="1" applyBorder="1" applyAlignment="1">
      <alignment horizontal="center" vertical="center" wrapText="1"/>
    </xf>
    <xf numFmtId="0" fontId="42" fillId="2" borderId="58" xfId="0" applyFont="1" applyFill="1" applyBorder="1" applyAlignment="1">
      <alignment horizontal="center" vertical="center" wrapText="1"/>
    </xf>
    <xf numFmtId="0" fontId="42" fillId="2" borderId="47" xfId="0" applyFont="1" applyFill="1" applyBorder="1" applyAlignment="1">
      <alignment horizontal="center" vertical="center" wrapText="1"/>
    </xf>
    <xf numFmtId="0" fontId="42" fillId="2" borderId="27" xfId="0" applyFont="1" applyFill="1" applyBorder="1" applyAlignment="1">
      <alignment horizontal="center" vertical="center" wrapText="1"/>
    </xf>
    <xf numFmtId="0" fontId="42" fillId="2" borderId="36" xfId="0" applyFont="1" applyFill="1" applyBorder="1" applyAlignment="1">
      <alignment horizontal="center" vertical="center" wrapText="1"/>
    </xf>
    <xf numFmtId="0" fontId="42" fillId="2" borderId="38" xfId="0" applyFont="1" applyFill="1" applyBorder="1" applyAlignment="1">
      <alignment horizontal="center"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xf>
    <xf numFmtId="0" fontId="5" fillId="0" borderId="5" xfId="0" applyFont="1" applyBorder="1" applyAlignment="1">
      <alignment horizontal="left" vertical="center"/>
    </xf>
    <xf numFmtId="0" fontId="12" fillId="0" borderId="27" xfId="0" applyFont="1" applyBorder="1" applyAlignment="1">
      <alignment horizontal="center" vertical="center"/>
    </xf>
    <xf numFmtId="0" fontId="12" fillId="0" borderId="36" xfId="0" applyFont="1" applyBorder="1" applyAlignment="1">
      <alignment horizontal="center" vertical="center"/>
    </xf>
    <xf numFmtId="0" fontId="12" fillId="0" borderId="38" xfId="0" applyFont="1" applyBorder="1" applyAlignment="1">
      <alignment horizontal="center" vertical="center"/>
    </xf>
    <xf numFmtId="0" fontId="12" fillId="0" borderId="28" xfId="0" applyFont="1" applyBorder="1" applyAlignment="1">
      <alignment horizontal="center" vertical="center"/>
    </xf>
    <xf numFmtId="0" fontId="12" fillId="0" borderId="35" xfId="0" applyFont="1" applyBorder="1" applyAlignment="1">
      <alignment horizontal="center" vertical="center"/>
    </xf>
    <xf numFmtId="0" fontId="12" fillId="0" borderId="37" xfId="0" applyFont="1" applyBorder="1" applyAlignment="1">
      <alignment horizontal="center" vertical="center"/>
    </xf>
    <xf numFmtId="0" fontId="56" fillId="0" borderId="4" xfId="1" applyFont="1" applyBorder="1" applyAlignment="1">
      <alignment horizontal="center" vertical="center" wrapText="1"/>
    </xf>
    <xf numFmtId="0" fontId="56" fillId="0" borderId="3" xfId="1" applyFont="1" applyBorder="1" applyAlignment="1">
      <alignment horizontal="center" vertical="center" wrapText="1"/>
    </xf>
    <xf numFmtId="0" fontId="56" fillId="0" borderId="5" xfId="1" applyFont="1" applyBorder="1" applyAlignment="1">
      <alignment horizontal="center" vertical="center" wrapText="1"/>
    </xf>
    <xf numFmtId="0" fontId="129" fillId="0" borderId="0" xfId="0" applyFont="1" applyAlignment="1">
      <alignment horizontal="center" vertical="center"/>
    </xf>
    <xf numFmtId="0" fontId="56" fillId="4" borderId="4" xfId="1" applyFont="1" applyFill="1" applyBorder="1" applyAlignment="1">
      <alignment horizontal="left" vertical="center"/>
    </xf>
    <xf numFmtId="0" fontId="56" fillId="4" borderId="5" xfId="1" applyFont="1" applyFill="1" applyBorder="1" applyAlignment="1">
      <alignment horizontal="left" vertical="center"/>
    </xf>
    <xf numFmtId="0" fontId="56" fillId="19" borderId="4" xfId="0" applyFont="1" applyFill="1" applyBorder="1" applyAlignment="1">
      <alignment horizontal="center" vertical="center"/>
    </xf>
    <xf numFmtId="0" fontId="56" fillId="19" borderId="3" xfId="0" applyFont="1" applyFill="1" applyBorder="1" applyAlignment="1">
      <alignment horizontal="center" vertical="center"/>
    </xf>
    <xf numFmtId="0" fontId="56" fillId="19" borderId="5" xfId="0" applyFont="1" applyFill="1" applyBorder="1" applyAlignment="1">
      <alignment horizontal="center" vertical="center"/>
    </xf>
    <xf numFmtId="0" fontId="43" fillId="4" borderId="4" xfId="1" applyFont="1" applyFill="1" applyBorder="1" applyAlignment="1">
      <alignment horizontal="left" vertical="center" wrapText="1"/>
    </xf>
    <xf numFmtId="0" fontId="43" fillId="4" borderId="3" xfId="1" applyFont="1" applyFill="1" applyBorder="1" applyAlignment="1">
      <alignment horizontal="left" vertical="center" wrapText="1"/>
    </xf>
    <xf numFmtId="0" fontId="43" fillId="4" borderId="5" xfId="1" applyFont="1" applyFill="1" applyBorder="1" applyAlignment="1">
      <alignment horizontal="left" vertical="center" wrapText="1"/>
    </xf>
    <xf numFmtId="0" fontId="31" fillId="5" borderId="4" xfId="1" applyFont="1" applyFill="1" applyBorder="1" applyAlignment="1">
      <alignment horizontal="left" vertical="center" wrapText="1"/>
    </xf>
    <xf numFmtId="0" fontId="31" fillId="5" borderId="3" xfId="1" applyFont="1" applyFill="1" applyBorder="1" applyAlignment="1">
      <alignment horizontal="left" vertical="center" wrapText="1"/>
    </xf>
    <xf numFmtId="0" fontId="31" fillId="5" borderId="5" xfId="1" applyFont="1" applyFill="1" applyBorder="1" applyAlignment="1">
      <alignment horizontal="left" vertical="center" wrapText="1"/>
    </xf>
    <xf numFmtId="0" fontId="12" fillId="0" borderId="15" xfId="0" applyFont="1" applyBorder="1" applyAlignment="1">
      <alignment horizontal="left" vertical="center"/>
    </xf>
    <xf numFmtId="0" fontId="12" fillId="0" borderId="16" xfId="0" applyFont="1" applyBorder="1" applyAlignment="1">
      <alignment horizontal="left" vertical="center"/>
    </xf>
    <xf numFmtId="0" fontId="12" fillId="0" borderId="26" xfId="0" applyFont="1" applyBorder="1" applyAlignment="1">
      <alignment horizontal="left" vertical="center"/>
    </xf>
    <xf numFmtId="0" fontId="7" fillId="0" borderId="24" xfId="0" applyFont="1" applyBorder="1" applyAlignment="1">
      <alignment horizontal="center" vertical="center"/>
    </xf>
    <xf numFmtId="0" fontId="56" fillId="4" borderId="4" xfId="1" applyFont="1" applyFill="1" applyBorder="1" applyAlignment="1">
      <alignment horizontal="left" vertical="center" wrapText="1"/>
    </xf>
    <xf numFmtId="0" fontId="56" fillId="4" borderId="3" xfId="1" applyFont="1" applyFill="1" applyBorder="1" applyAlignment="1">
      <alignment horizontal="left" vertical="center" wrapText="1"/>
    </xf>
    <xf numFmtId="0" fontId="56" fillId="4" borderId="5" xfId="1" applyFont="1" applyFill="1" applyBorder="1" applyAlignment="1">
      <alignment horizontal="left" vertical="center" wrapText="1"/>
    </xf>
    <xf numFmtId="0" fontId="56" fillId="19" borderId="3" xfId="1" applyFont="1" applyFill="1" applyBorder="1" applyAlignment="1">
      <alignment horizontal="center" vertical="center" wrapText="1"/>
    </xf>
    <xf numFmtId="0" fontId="56" fillId="19" borderId="5" xfId="1" applyFont="1" applyFill="1" applyBorder="1" applyAlignment="1">
      <alignment horizontal="center" vertical="center" wrapText="1"/>
    </xf>
    <xf numFmtId="0" fontId="19" fillId="4" borderId="4" xfId="1" applyFont="1" applyFill="1" applyBorder="1" applyAlignment="1">
      <alignment horizontal="left" vertical="center" wrapText="1"/>
    </xf>
    <xf numFmtId="0" fontId="19" fillId="4" borderId="3" xfId="1" applyFont="1" applyFill="1" applyBorder="1" applyAlignment="1">
      <alignment horizontal="left" vertical="center" wrapText="1"/>
    </xf>
    <xf numFmtId="0" fontId="19" fillId="4" borderId="5" xfId="1" applyFont="1" applyFill="1" applyBorder="1" applyAlignment="1">
      <alignment horizontal="left" vertical="center" wrapText="1"/>
    </xf>
    <xf numFmtId="165" fontId="56" fillId="19" borderId="4" xfId="1" applyNumberFormat="1" applyFont="1" applyFill="1" applyBorder="1" applyAlignment="1">
      <alignment horizontal="center" vertical="center" wrapText="1"/>
    </xf>
    <xf numFmtId="165" fontId="56" fillId="19" borderId="3" xfId="1" applyNumberFormat="1" applyFont="1" applyFill="1" applyBorder="1" applyAlignment="1">
      <alignment horizontal="center" vertical="center" wrapText="1"/>
    </xf>
    <xf numFmtId="165" fontId="56" fillId="19" borderId="5" xfId="1" applyNumberFormat="1" applyFont="1" applyFill="1" applyBorder="1" applyAlignment="1">
      <alignment horizontal="center" vertical="center" wrapText="1"/>
    </xf>
    <xf numFmtId="0" fontId="6" fillId="4" borderId="4" xfId="1" applyFont="1" applyFill="1" applyBorder="1" applyAlignment="1">
      <alignment horizontal="left" vertical="center" wrapText="1"/>
    </xf>
    <xf numFmtId="0" fontId="6" fillId="4" borderId="3" xfId="1" applyFont="1" applyFill="1" applyBorder="1" applyAlignment="1">
      <alignment horizontal="left" vertical="center" wrapText="1"/>
    </xf>
    <xf numFmtId="0" fontId="6" fillId="4" borderId="5" xfId="1" applyFont="1" applyFill="1" applyBorder="1" applyAlignment="1">
      <alignment horizontal="left" vertical="center" wrapText="1"/>
    </xf>
    <xf numFmtId="0" fontId="56" fillId="19" borderId="3" xfId="1" applyFont="1" applyFill="1" applyBorder="1" applyAlignment="1">
      <alignment horizontal="center" vertical="center"/>
    </xf>
    <xf numFmtId="0" fontId="56" fillId="19" borderId="4" xfId="1" applyFont="1" applyFill="1" applyBorder="1" applyAlignment="1" applyProtection="1">
      <alignment horizontal="center" vertical="center" wrapText="1"/>
      <protection locked="0"/>
    </xf>
    <xf numFmtId="0" fontId="56" fillId="19" borderId="3" xfId="1" applyFont="1" applyFill="1" applyBorder="1" applyAlignment="1" applyProtection="1">
      <alignment horizontal="center" vertical="center" wrapText="1"/>
      <protection locked="0"/>
    </xf>
    <xf numFmtId="0" fontId="56" fillId="19" borderId="5" xfId="1" applyFont="1" applyFill="1" applyBorder="1" applyAlignment="1" applyProtection="1">
      <alignment horizontal="center" vertical="center" wrapText="1"/>
      <protection locked="0"/>
    </xf>
    <xf numFmtId="0" fontId="43" fillId="4" borderId="46" xfId="1" applyFont="1" applyFill="1" applyBorder="1" applyAlignment="1">
      <alignment horizontal="center" vertical="center" wrapText="1"/>
    </xf>
    <xf numFmtId="0" fontId="43" fillId="4" borderId="58" xfId="1" applyFont="1" applyFill="1" applyBorder="1" applyAlignment="1">
      <alignment horizontal="center" vertical="center" wrapText="1"/>
    </xf>
    <xf numFmtId="0" fontId="43" fillId="4" borderId="59" xfId="1" applyFont="1" applyFill="1" applyBorder="1" applyAlignment="1">
      <alignment horizontal="center" vertical="center" wrapText="1"/>
    </xf>
    <xf numFmtId="0" fontId="43" fillId="4" borderId="26" xfId="1" applyFont="1" applyFill="1" applyBorder="1" applyAlignment="1">
      <alignment horizontal="center" vertical="center" wrapText="1"/>
    </xf>
    <xf numFmtId="0" fontId="43" fillId="4" borderId="24" xfId="1" applyFont="1" applyFill="1" applyBorder="1" applyAlignment="1">
      <alignment horizontal="center" vertical="center" wrapText="1"/>
    </xf>
    <xf numFmtId="0" fontId="43" fillId="4" borderId="23" xfId="1" applyFont="1" applyFill="1" applyBorder="1" applyAlignment="1">
      <alignment horizontal="center" vertical="center" wrapText="1"/>
    </xf>
    <xf numFmtId="0" fontId="12" fillId="0" borderId="28" xfId="0" applyFont="1" applyBorder="1" applyAlignment="1">
      <alignment horizontal="left" vertical="center"/>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19" fillId="2" borderId="11" xfId="1" applyFont="1" applyFill="1" applyBorder="1" applyAlignment="1">
      <alignment horizontal="center" vertical="center" wrapText="1"/>
    </xf>
    <xf numFmtId="0" fontId="19" fillId="2" borderId="1" xfId="1" applyFont="1" applyFill="1" applyBorder="1" applyAlignment="1">
      <alignment horizontal="center" vertical="center" wrapText="1"/>
    </xf>
    <xf numFmtId="0" fontId="19" fillId="2" borderId="10" xfId="1" applyFont="1" applyFill="1" applyBorder="1" applyAlignment="1">
      <alignment horizontal="center" vertical="center" wrapText="1"/>
    </xf>
    <xf numFmtId="0" fontId="19" fillId="2" borderId="7" xfId="1" applyFont="1" applyFill="1" applyBorder="1" applyAlignment="1">
      <alignment horizontal="center" vertical="center" wrapText="1"/>
    </xf>
    <xf numFmtId="0" fontId="19" fillId="2" borderId="2" xfId="1" applyFont="1" applyFill="1" applyBorder="1" applyAlignment="1">
      <alignment horizontal="center" vertical="center" wrapText="1"/>
    </xf>
    <xf numFmtId="0" fontId="19" fillId="2" borderId="6" xfId="1" applyFont="1" applyFill="1" applyBorder="1" applyAlignment="1">
      <alignment horizontal="center" vertical="center" wrapText="1"/>
    </xf>
    <xf numFmtId="0" fontId="56" fillId="11" borderId="9" xfId="1" applyFont="1" applyFill="1" applyBorder="1" applyAlignment="1">
      <alignment horizontal="center" vertical="center" wrapText="1"/>
    </xf>
    <xf numFmtId="0" fontId="56" fillId="11" borderId="0" xfId="1" applyFont="1" applyFill="1" applyAlignment="1">
      <alignment horizontal="center" vertical="center" wrapText="1"/>
    </xf>
    <xf numFmtId="0" fontId="56" fillId="11" borderId="8" xfId="1" applyFont="1" applyFill="1" applyBorder="1" applyAlignment="1">
      <alignment horizontal="center" vertical="center" wrapText="1"/>
    </xf>
    <xf numFmtId="0" fontId="12" fillId="0" borderId="6" xfId="0" applyFont="1" applyBorder="1" applyAlignment="1">
      <alignment horizontal="center" vertical="center"/>
    </xf>
    <xf numFmtId="0" fontId="53" fillId="4" borderId="51" xfId="0" applyFont="1" applyFill="1" applyBorder="1" applyAlignment="1">
      <alignment horizontal="center" vertical="center" wrapText="1"/>
    </xf>
    <xf numFmtId="0" fontId="53" fillId="4" borderId="3" xfId="0" applyFont="1" applyFill="1" applyBorder="1" applyAlignment="1">
      <alignment horizontal="center" vertical="center" wrapText="1"/>
    </xf>
    <xf numFmtId="0" fontId="53" fillId="4" borderId="5" xfId="0" applyFont="1" applyFill="1" applyBorder="1" applyAlignment="1">
      <alignment horizontal="center" vertical="center" wrapText="1"/>
    </xf>
    <xf numFmtId="0" fontId="44" fillId="0" borderId="4" xfId="0" applyFont="1" applyBorder="1" applyAlignment="1">
      <alignment horizontal="center" vertical="center" wrapText="1"/>
    </xf>
    <xf numFmtId="0" fontId="44" fillId="0" borderId="5" xfId="0" applyFont="1" applyBorder="1" applyAlignment="1">
      <alignment horizontal="center" vertical="center" wrapText="1"/>
    </xf>
    <xf numFmtId="0" fontId="18" fillId="5" borderId="69" xfId="1" applyFont="1" applyFill="1" applyBorder="1" applyAlignment="1">
      <alignment horizontal="left" vertical="center" wrapText="1"/>
    </xf>
    <xf numFmtId="0" fontId="18" fillId="5" borderId="70" xfId="1" applyFont="1" applyFill="1" applyBorder="1" applyAlignment="1">
      <alignment horizontal="left" vertical="center" wrapText="1"/>
    </xf>
    <xf numFmtId="0" fontId="52" fillId="3" borderId="65" xfId="0" applyFont="1" applyFill="1" applyBorder="1" applyAlignment="1">
      <alignment horizontal="center" vertical="center" wrapText="1"/>
    </xf>
    <xf numFmtId="0" fontId="52" fillId="3" borderId="66" xfId="0" applyFont="1" applyFill="1" applyBorder="1" applyAlignment="1">
      <alignment horizontal="center" vertical="center" wrapText="1"/>
    </xf>
    <xf numFmtId="0" fontId="52" fillId="3" borderId="67" xfId="0" applyFont="1" applyFill="1" applyBorder="1" applyAlignment="1">
      <alignment horizontal="center" vertical="center" wrapText="1"/>
    </xf>
    <xf numFmtId="0" fontId="52" fillId="3" borderId="68" xfId="0" applyFont="1" applyFill="1" applyBorder="1" applyAlignment="1">
      <alignment horizontal="center" vertical="center" wrapText="1"/>
    </xf>
  </cellXfs>
  <cellStyles count="16">
    <cellStyle name="Bueno" xfId="9" builtinId="26"/>
    <cellStyle name="Hipervínculo" xfId="14" builtinId="8"/>
    <cellStyle name="Incorrecto" xfId="10" builtinId="27"/>
    <cellStyle name="Millares" xfId="3" builtinId="3"/>
    <cellStyle name="Millares 2" xfId="15" xr:uid="{4E3198D9-D9EF-4217-8A5A-5F95ADE5D942}"/>
    <cellStyle name="Moneda" xfId="6" builtinId="4"/>
    <cellStyle name="Moneda [0]" xfId="4" builtinId="7"/>
    <cellStyle name="Moneda 2" xfId="5" xr:uid="{305ACA7F-EAF3-4884-8787-175FC442865C}"/>
    <cellStyle name="Neutral" xfId="11" builtinId="28"/>
    <cellStyle name="Normal" xfId="0" builtinId="0"/>
    <cellStyle name="Normal 2" xfId="8" xr:uid="{9AF29F3D-2853-496C-8765-1E53C93B156C}"/>
    <cellStyle name="Normal 2 2" xfId="1" xr:uid="{00000000-0005-0000-0000-000003000000}"/>
    <cellStyle name="Normal 3" xfId="7" xr:uid="{64B5C82D-A2AD-41C8-B71C-B8B1DB3656DE}"/>
    <cellStyle name="Normal_Cuestiones Segunda Avaluacion rev00" xfId="13" xr:uid="{5833D333-E413-49AB-9754-12CBB7E7F4C2}"/>
    <cellStyle name="Porcentaje" xfId="2" builtinId="5"/>
    <cellStyle name="Porcentaje 2" xfId="12" xr:uid="{B1C22238-2B8B-4A95-BD48-CD1BB1844A65}"/>
  </cellStyles>
  <dxfs count="123">
    <dxf>
      <numFmt numFmtId="14" formatCode="0.00%"/>
      <alignment horizontal="general" vertical="center" textRotation="0" wrapText="0" indent="0" justifyLastLine="0" shrinkToFit="0" readingOrder="0"/>
    </dxf>
    <dxf>
      <numFmt numFmtId="14" formatCode="0.00%"/>
      <alignment horizontal="general" vertical="center" textRotation="0" wrapText="0" indent="0" justifyLastLine="0" shrinkToFit="0" readingOrder="0"/>
    </dxf>
    <dxf>
      <numFmt numFmtId="14" formatCode="0.00%"/>
      <alignment horizontal="general" vertical="center" textRotation="0" wrapText="0" indent="0" justifyLastLine="0" shrinkToFit="0" readingOrder="0"/>
    </dxf>
    <dxf>
      <numFmt numFmtId="14" formatCode="0.0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general" vertical="center" textRotation="0" wrapText="0" indent="0" justifyLastLine="0" shrinkToFit="0" readingOrder="0"/>
    </dxf>
    <dxf>
      <numFmt numFmtId="3" formatCode="#,##0"/>
      <fill>
        <patternFill patternType="solid">
          <fgColor indexed="64"/>
          <bgColor theme="8" tint="0.59999389629810485"/>
        </patternFill>
      </fill>
      <alignment horizontal="center" vertical="center" textRotation="0" wrapText="1" indent="0" justifyLastLine="0" shrinkToFit="0" readingOrder="0"/>
    </dxf>
    <dxf>
      <font>
        <color rgb="FF9C0006"/>
      </font>
      <fill>
        <patternFill>
          <bgColor rgb="FFFFC7CE"/>
        </patternFill>
      </fill>
    </dxf>
    <dxf>
      <font>
        <color theme="0" tint="-0.34998626667073579"/>
      </font>
    </dxf>
    <dxf>
      <font>
        <color theme="0" tint="-0.34998626667073579"/>
      </font>
    </dxf>
    <dxf>
      <font>
        <color theme="0" tint="-0.34998626667073579"/>
      </font>
    </dxf>
    <dxf>
      <font>
        <color theme="0" tint="-0.34998626667073579"/>
      </font>
    </dxf>
    <dxf>
      <font>
        <color theme="0"/>
      </font>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
      <fill>
        <patternFill>
          <bgColor theme="0" tint="-0.499984740745262"/>
        </patternFill>
      </fill>
      <border>
        <left style="thin">
          <color theme="0"/>
        </left>
        <right style="thin">
          <color theme="0"/>
        </right>
        <top style="thin">
          <color theme="0"/>
        </top>
        <bottom style="thin">
          <color theme="0"/>
        </bottom>
        <vertical/>
        <horizontal/>
      </border>
    </dxf>
  </dxfs>
  <tableStyles count="0" defaultTableStyle="TableStyleMedium2" defaultPivotStyle="PivotStyleLight16"/>
  <colors>
    <mruColors>
      <color rgb="FFE0E6F4"/>
      <color rgb="FFEDF1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r>
              <a:rPr lang="en-US"/>
              <a:t>Situación actual</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endParaRPr lang="es-CO"/>
        </a:p>
      </c:txPr>
    </c:title>
    <c:autoTitleDeleted val="0"/>
    <c:plotArea>
      <c:layout/>
      <c:radarChart>
        <c:radarStyle val="marker"/>
        <c:varyColors val="0"/>
        <c:ser>
          <c:idx val="0"/>
          <c:order val="0"/>
          <c:tx>
            <c:strRef>
              <c:f>'Situación actual'!$J$124</c:f>
              <c:strCache>
                <c:ptCount val="1"/>
                <c:pt idx="0">
                  <c:v>Cal.</c:v>
                </c:pt>
              </c:strCache>
            </c:strRef>
          </c:tx>
          <c:spPr>
            <a:ln w="28575" cap="rnd">
              <a:solidFill>
                <a:schemeClr val="accent1"/>
              </a:solidFill>
              <a:round/>
            </a:ln>
            <a:effectLst/>
          </c:spPr>
          <c:marker>
            <c:symbol val="none"/>
          </c:marker>
          <c:cat>
            <c:strRef>
              <c:f>'Situación actual'!$B$125:$H$133</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actual'!$J$125:$J$133</c:f>
              <c:numCache>
                <c:formatCode>0.0</c:formatCode>
                <c:ptCount val="9"/>
                <c:pt idx="0">
                  <c:v>2.5</c:v>
                </c:pt>
                <c:pt idx="1">
                  <c:v>2</c:v>
                </c:pt>
                <c:pt idx="2">
                  <c:v>0</c:v>
                </c:pt>
                <c:pt idx="3">
                  <c:v>4.6363636363636367</c:v>
                </c:pt>
                <c:pt idx="4">
                  <c:v>1</c:v>
                </c:pt>
                <c:pt idx="5">
                  <c:v>2.3333333333333335</c:v>
                </c:pt>
                <c:pt idx="6">
                  <c:v>3</c:v>
                </c:pt>
                <c:pt idx="7">
                  <c:v>4.2</c:v>
                </c:pt>
                <c:pt idx="8">
                  <c:v>5</c:v>
                </c:pt>
              </c:numCache>
            </c:numRef>
          </c:val>
          <c:extLst>
            <c:ext xmlns:c16="http://schemas.microsoft.com/office/drawing/2014/chart" uri="{C3380CC4-5D6E-409C-BE32-E72D297353CC}">
              <c16:uniqueId val="{00000000-8D76-49F0-AEC9-0ACBD87C98B9}"/>
            </c:ext>
          </c:extLst>
        </c:ser>
        <c:ser>
          <c:idx val="1"/>
          <c:order val="1"/>
          <c:tx>
            <c:strRef>
              <c:f>'Situación actual'!$K$124</c:f>
              <c:strCache>
                <c:ptCount val="1"/>
                <c:pt idx="0">
                  <c:v>CM</c:v>
                </c:pt>
              </c:strCache>
            </c:strRef>
          </c:tx>
          <c:spPr>
            <a:ln w="28575" cap="rnd">
              <a:solidFill>
                <a:schemeClr val="accent2"/>
              </a:solidFill>
              <a:round/>
            </a:ln>
            <a:effectLst/>
          </c:spPr>
          <c:marker>
            <c:symbol val="none"/>
          </c:marker>
          <c:val>
            <c:numRef>
              <c:f>'Situación actual'!$K$125:$K$133</c:f>
              <c:numCache>
                <c:formatCode>0.0</c:formatCode>
                <c:ptCount val="9"/>
                <c:pt idx="0">
                  <c:v>5</c:v>
                </c:pt>
                <c:pt idx="1">
                  <c:v>5</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01-8D76-49F0-AEC9-0ACBD87C98B9}"/>
            </c:ext>
          </c:extLst>
        </c:ser>
        <c:dLbls>
          <c:showLegendKey val="0"/>
          <c:showVal val="0"/>
          <c:showCatName val="0"/>
          <c:showSerName val="0"/>
          <c:showPercent val="0"/>
          <c:showBubbleSize val="0"/>
        </c:dLbls>
        <c:axId val="565474808"/>
        <c:axId val="565471288"/>
      </c:radarChart>
      <c:catAx>
        <c:axId val="565474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1288"/>
        <c:crosses val="autoZero"/>
        <c:auto val="1"/>
        <c:lblAlgn val="ctr"/>
        <c:lblOffset val="100"/>
        <c:noMultiLvlLbl val="0"/>
      </c:catAx>
      <c:valAx>
        <c:axId val="565471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4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Palatino Linotype" panose="0204050205050503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r>
              <a:rPr lang="en-US"/>
              <a:t>Situación futura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endParaRPr lang="es-CO"/>
        </a:p>
      </c:txPr>
    </c:title>
    <c:autoTitleDeleted val="0"/>
    <c:plotArea>
      <c:layout/>
      <c:radarChart>
        <c:radarStyle val="marker"/>
        <c:varyColors val="0"/>
        <c:ser>
          <c:idx val="0"/>
          <c:order val="0"/>
          <c:tx>
            <c:strRef>
              <c:f>'Situación Futura'!$I$121</c:f>
              <c:strCache>
                <c:ptCount val="1"/>
                <c:pt idx="0">
                  <c:v>2021</c:v>
                </c:pt>
              </c:strCache>
            </c:strRef>
          </c:tx>
          <c:spPr>
            <a:ln w="28575" cap="rnd">
              <a:solidFill>
                <a:schemeClr val="accent1"/>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Futura'!$I$122:$I$130</c:f>
              <c:numCache>
                <c:formatCode>0.0</c:formatCode>
                <c:ptCount val="9"/>
                <c:pt idx="0">
                  <c:v>0</c:v>
                </c:pt>
                <c:pt idx="1">
                  <c:v>0</c:v>
                </c:pt>
                <c:pt idx="2">
                  <c:v>0</c:v>
                </c:pt>
                <c:pt idx="3">
                  <c:v>5</c:v>
                </c:pt>
                <c:pt idx="4">
                  <c:v>5</c:v>
                </c:pt>
                <c:pt idx="5">
                  <c:v>4</c:v>
                </c:pt>
                <c:pt idx="6">
                  <c:v>5</c:v>
                </c:pt>
                <c:pt idx="7">
                  <c:v>5</c:v>
                </c:pt>
                <c:pt idx="8">
                  <c:v>5</c:v>
                </c:pt>
              </c:numCache>
            </c:numRef>
          </c:val>
          <c:extLst>
            <c:ext xmlns:c16="http://schemas.microsoft.com/office/drawing/2014/chart" uri="{C3380CC4-5D6E-409C-BE32-E72D297353CC}">
              <c16:uniqueId val="{00000000-320C-4000-8232-DF588560A991}"/>
            </c:ext>
          </c:extLst>
        </c:ser>
        <c:ser>
          <c:idx val="1"/>
          <c:order val="1"/>
          <c:tx>
            <c:strRef>
              <c:f>'Situación Futura'!$J$121</c:f>
              <c:strCache>
                <c:ptCount val="1"/>
                <c:pt idx="0">
                  <c:v>2022</c:v>
                </c:pt>
              </c:strCache>
            </c:strRef>
          </c:tx>
          <c:spPr>
            <a:ln w="28575" cap="rnd">
              <a:solidFill>
                <a:schemeClr val="accent2"/>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Futura'!$J$122:$J$130</c:f>
              <c:numCache>
                <c:formatCode>0.0</c:formatCode>
                <c:ptCount val="9"/>
                <c:pt idx="0">
                  <c:v>0</c:v>
                </c:pt>
                <c:pt idx="1">
                  <c:v>0</c:v>
                </c:pt>
                <c:pt idx="2">
                  <c:v>0</c:v>
                </c:pt>
                <c:pt idx="3">
                  <c:v>5</c:v>
                </c:pt>
                <c:pt idx="4">
                  <c:v>5</c:v>
                </c:pt>
                <c:pt idx="5">
                  <c:v>4</c:v>
                </c:pt>
                <c:pt idx="6">
                  <c:v>5</c:v>
                </c:pt>
                <c:pt idx="7">
                  <c:v>5</c:v>
                </c:pt>
                <c:pt idx="8">
                  <c:v>5</c:v>
                </c:pt>
              </c:numCache>
            </c:numRef>
          </c:val>
          <c:extLst>
            <c:ext xmlns:c16="http://schemas.microsoft.com/office/drawing/2014/chart" uri="{C3380CC4-5D6E-409C-BE32-E72D297353CC}">
              <c16:uniqueId val="{00000001-320C-4000-8232-DF588560A991}"/>
            </c:ext>
          </c:extLst>
        </c:ser>
        <c:ser>
          <c:idx val="2"/>
          <c:order val="2"/>
          <c:tx>
            <c:strRef>
              <c:f>'Situación Futura'!$K$121</c:f>
              <c:strCache>
                <c:ptCount val="1"/>
                <c:pt idx="0">
                  <c:v>2023</c:v>
                </c:pt>
              </c:strCache>
            </c:strRef>
          </c:tx>
          <c:spPr>
            <a:ln w="28575" cap="rnd">
              <a:solidFill>
                <a:schemeClr val="accent3"/>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Futura'!$K$122:$K$130</c:f>
              <c:numCache>
                <c:formatCode>0.0</c:formatCode>
                <c:ptCount val="9"/>
                <c:pt idx="0">
                  <c:v>0</c:v>
                </c:pt>
                <c:pt idx="1">
                  <c:v>0</c:v>
                </c:pt>
                <c:pt idx="2">
                  <c:v>0</c:v>
                </c:pt>
                <c:pt idx="3">
                  <c:v>5</c:v>
                </c:pt>
                <c:pt idx="4">
                  <c:v>5</c:v>
                </c:pt>
                <c:pt idx="5">
                  <c:v>4</c:v>
                </c:pt>
                <c:pt idx="6">
                  <c:v>5</c:v>
                </c:pt>
                <c:pt idx="7">
                  <c:v>5</c:v>
                </c:pt>
                <c:pt idx="8">
                  <c:v>5</c:v>
                </c:pt>
              </c:numCache>
            </c:numRef>
          </c:val>
          <c:extLst>
            <c:ext xmlns:c16="http://schemas.microsoft.com/office/drawing/2014/chart" uri="{C3380CC4-5D6E-409C-BE32-E72D297353CC}">
              <c16:uniqueId val="{00000002-320C-4000-8232-DF588560A991}"/>
            </c:ext>
          </c:extLst>
        </c:ser>
        <c:ser>
          <c:idx val="3"/>
          <c:order val="3"/>
          <c:tx>
            <c:strRef>
              <c:f>'Situación Futura'!$L$121</c:f>
              <c:strCache>
                <c:ptCount val="1"/>
                <c:pt idx="0">
                  <c:v>CM</c:v>
                </c:pt>
              </c:strCache>
            </c:strRef>
          </c:tx>
          <c:spPr>
            <a:ln w="28575" cap="rnd">
              <a:solidFill>
                <a:schemeClr val="accent4"/>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Futura'!$L$122:$L$130</c:f>
              <c:numCache>
                <c:formatCode>0.0</c:formatCode>
                <c:ptCount val="9"/>
                <c:pt idx="0">
                  <c:v>5</c:v>
                </c:pt>
                <c:pt idx="1">
                  <c:v>5</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03-320C-4000-8232-DF588560A991}"/>
            </c:ext>
          </c:extLst>
        </c:ser>
        <c:dLbls>
          <c:showLegendKey val="0"/>
          <c:showVal val="0"/>
          <c:showCatName val="0"/>
          <c:showSerName val="0"/>
          <c:showPercent val="0"/>
          <c:showBubbleSize val="0"/>
        </c:dLbls>
        <c:axId val="565474808"/>
        <c:axId val="565471288"/>
      </c:radarChart>
      <c:catAx>
        <c:axId val="565474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1288"/>
        <c:crosses val="autoZero"/>
        <c:auto val="1"/>
        <c:lblAlgn val="ctr"/>
        <c:lblOffset val="100"/>
        <c:noMultiLvlLbl val="0"/>
      </c:catAx>
      <c:valAx>
        <c:axId val="565471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4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Palatino Linotype" panose="0204050205050503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r>
              <a:rPr lang="en-US"/>
              <a:t>Situación actual</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endParaRPr lang="es-CO"/>
        </a:p>
      </c:txPr>
    </c:title>
    <c:autoTitleDeleted val="0"/>
    <c:plotArea>
      <c:layout/>
      <c:radarChart>
        <c:radarStyle val="marker"/>
        <c:varyColors val="0"/>
        <c:ser>
          <c:idx val="0"/>
          <c:order val="0"/>
          <c:tx>
            <c:strRef>
              <c:f>'Situación actual'!$J$124</c:f>
              <c:strCache>
                <c:ptCount val="1"/>
                <c:pt idx="0">
                  <c:v>Cal.</c:v>
                </c:pt>
              </c:strCache>
            </c:strRef>
          </c:tx>
          <c:spPr>
            <a:ln w="28575" cap="rnd">
              <a:solidFill>
                <a:schemeClr val="accent1"/>
              </a:solidFill>
              <a:round/>
            </a:ln>
            <a:effectLst/>
          </c:spPr>
          <c:marker>
            <c:symbol val="none"/>
          </c:marker>
          <c:cat>
            <c:strRef>
              <c:f>'Situación actual'!$B$125:$H$133</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actual'!$J$125:$J$133</c:f>
              <c:numCache>
                <c:formatCode>0.0</c:formatCode>
                <c:ptCount val="9"/>
                <c:pt idx="0">
                  <c:v>2.5</c:v>
                </c:pt>
                <c:pt idx="1">
                  <c:v>2</c:v>
                </c:pt>
                <c:pt idx="2">
                  <c:v>0</c:v>
                </c:pt>
                <c:pt idx="3">
                  <c:v>4.6363636363636367</c:v>
                </c:pt>
                <c:pt idx="4">
                  <c:v>1</c:v>
                </c:pt>
                <c:pt idx="5">
                  <c:v>2.3333333333333335</c:v>
                </c:pt>
                <c:pt idx="6">
                  <c:v>3</c:v>
                </c:pt>
                <c:pt idx="7">
                  <c:v>4.2</c:v>
                </c:pt>
                <c:pt idx="8">
                  <c:v>5</c:v>
                </c:pt>
              </c:numCache>
            </c:numRef>
          </c:val>
          <c:extLst>
            <c:ext xmlns:c16="http://schemas.microsoft.com/office/drawing/2014/chart" uri="{C3380CC4-5D6E-409C-BE32-E72D297353CC}">
              <c16:uniqueId val="{00000000-770B-4B0F-8B6F-132BE58BCE38}"/>
            </c:ext>
          </c:extLst>
        </c:ser>
        <c:ser>
          <c:idx val="1"/>
          <c:order val="1"/>
          <c:tx>
            <c:strRef>
              <c:f>'Situación actual'!$K$124</c:f>
              <c:strCache>
                <c:ptCount val="1"/>
                <c:pt idx="0">
                  <c:v>CM</c:v>
                </c:pt>
              </c:strCache>
            </c:strRef>
          </c:tx>
          <c:spPr>
            <a:ln w="28575" cap="rnd">
              <a:solidFill>
                <a:schemeClr val="accent2"/>
              </a:solidFill>
              <a:round/>
            </a:ln>
            <a:effectLst/>
          </c:spPr>
          <c:marker>
            <c:symbol val="none"/>
          </c:marker>
          <c:val>
            <c:numRef>
              <c:f>'Situación actual'!$K$125:$K$133</c:f>
              <c:numCache>
                <c:formatCode>0.0</c:formatCode>
                <c:ptCount val="9"/>
                <c:pt idx="0">
                  <c:v>5</c:v>
                </c:pt>
                <c:pt idx="1">
                  <c:v>5</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01-770B-4B0F-8B6F-132BE58BCE38}"/>
            </c:ext>
          </c:extLst>
        </c:ser>
        <c:dLbls>
          <c:showLegendKey val="0"/>
          <c:showVal val="0"/>
          <c:showCatName val="0"/>
          <c:showSerName val="0"/>
          <c:showPercent val="0"/>
          <c:showBubbleSize val="0"/>
        </c:dLbls>
        <c:axId val="565474808"/>
        <c:axId val="565471288"/>
      </c:radarChart>
      <c:catAx>
        <c:axId val="565474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1288"/>
        <c:crosses val="autoZero"/>
        <c:auto val="1"/>
        <c:lblAlgn val="ctr"/>
        <c:lblOffset val="100"/>
        <c:noMultiLvlLbl val="0"/>
      </c:catAx>
      <c:valAx>
        <c:axId val="565471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4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Palatino Linotype" panose="02040502050505030304" pitchFamily="18" charset="0"/>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r>
              <a:rPr lang="en-US"/>
              <a:t>Situación futura</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Palatino Linotype" panose="02040502050505030304" pitchFamily="18" charset="0"/>
              <a:ea typeface="+mn-ea"/>
              <a:cs typeface="+mn-cs"/>
            </a:defRPr>
          </a:pPr>
          <a:endParaRPr lang="es-CO"/>
        </a:p>
      </c:txPr>
    </c:title>
    <c:autoTitleDeleted val="0"/>
    <c:plotArea>
      <c:layout/>
      <c:radarChart>
        <c:radarStyle val="marker"/>
        <c:varyColors val="0"/>
        <c:ser>
          <c:idx val="0"/>
          <c:order val="0"/>
          <c:tx>
            <c:strRef>
              <c:f>'Situación Futura'!$I$121</c:f>
              <c:strCache>
                <c:ptCount val="1"/>
                <c:pt idx="0">
                  <c:v>2021</c:v>
                </c:pt>
              </c:strCache>
            </c:strRef>
          </c:tx>
          <c:spPr>
            <a:ln w="28575" cap="rnd">
              <a:solidFill>
                <a:schemeClr val="accent1"/>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Futura'!$I$122:$I$130</c:f>
              <c:numCache>
                <c:formatCode>0.0</c:formatCode>
                <c:ptCount val="9"/>
                <c:pt idx="0">
                  <c:v>0</c:v>
                </c:pt>
                <c:pt idx="1">
                  <c:v>0</c:v>
                </c:pt>
                <c:pt idx="2">
                  <c:v>0</c:v>
                </c:pt>
                <c:pt idx="3">
                  <c:v>5</c:v>
                </c:pt>
                <c:pt idx="4">
                  <c:v>5</c:v>
                </c:pt>
                <c:pt idx="5">
                  <c:v>4</c:v>
                </c:pt>
                <c:pt idx="6">
                  <c:v>5</c:v>
                </c:pt>
                <c:pt idx="7">
                  <c:v>5</c:v>
                </c:pt>
                <c:pt idx="8">
                  <c:v>5</c:v>
                </c:pt>
              </c:numCache>
            </c:numRef>
          </c:val>
          <c:extLst>
            <c:ext xmlns:c16="http://schemas.microsoft.com/office/drawing/2014/chart" uri="{C3380CC4-5D6E-409C-BE32-E72D297353CC}">
              <c16:uniqueId val="{00000000-EB75-4E4E-A4B5-3E005C4E8A2A}"/>
            </c:ext>
          </c:extLst>
        </c:ser>
        <c:ser>
          <c:idx val="1"/>
          <c:order val="1"/>
          <c:tx>
            <c:strRef>
              <c:f>'Situación Futura'!$J$121</c:f>
              <c:strCache>
                <c:ptCount val="1"/>
                <c:pt idx="0">
                  <c:v>2022</c:v>
                </c:pt>
              </c:strCache>
            </c:strRef>
          </c:tx>
          <c:spPr>
            <a:ln w="28575" cap="rnd">
              <a:solidFill>
                <a:schemeClr val="accent2"/>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Futura'!$J$122:$J$130</c:f>
              <c:numCache>
                <c:formatCode>0.0</c:formatCode>
                <c:ptCount val="9"/>
                <c:pt idx="0">
                  <c:v>0</c:v>
                </c:pt>
                <c:pt idx="1">
                  <c:v>0</c:v>
                </c:pt>
                <c:pt idx="2">
                  <c:v>0</c:v>
                </c:pt>
                <c:pt idx="3">
                  <c:v>5</c:v>
                </c:pt>
                <c:pt idx="4">
                  <c:v>5</c:v>
                </c:pt>
                <c:pt idx="5">
                  <c:v>4</c:v>
                </c:pt>
                <c:pt idx="6">
                  <c:v>5</c:v>
                </c:pt>
                <c:pt idx="7">
                  <c:v>5</c:v>
                </c:pt>
                <c:pt idx="8">
                  <c:v>5</c:v>
                </c:pt>
              </c:numCache>
            </c:numRef>
          </c:val>
          <c:extLst>
            <c:ext xmlns:c16="http://schemas.microsoft.com/office/drawing/2014/chart" uri="{C3380CC4-5D6E-409C-BE32-E72D297353CC}">
              <c16:uniqueId val="{00000001-EB75-4E4E-A4B5-3E005C4E8A2A}"/>
            </c:ext>
          </c:extLst>
        </c:ser>
        <c:ser>
          <c:idx val="2"/>
          <c:order val="2"/>
          <c:tx>
            <c:strRef>
              <c:f>'Situación Futura'!$K$121</c:f>
              <c:strCache>
                <c:ptCount val="1"/>
                <c:pt idx="0">
                  <c:v>2023</c:v>
                </c:pt>
              </c:strCache>
            </c:strRef>
          </c:tx>
          <c:spPr>
            <a:ln w="28575" cap="rnd">
              <a:solidFill>
                <a:schemeClr val="accent3"/>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Futura'!$K$122:$K$130</c:f>
              <c:numCache>
                <c:formatCode>0.0</c:formatCode>
                <c:ptCount val="9"/>
                <c:pt idx="0">
                  <c:v>0</c:v>
                </c:pt>
                <c:pt idx="1">
                  <c:v>0</c:v>
                </c:pt>
                <c:pt idx="2">
                  <c:v>0</c:v>
                </c:pt>
                <c:pt idx="3">
                  <c:v>5</c:v>
                </c:pt>
                <c:pt idx="4">
                  <c:v>5</c:v>
                </c:pt>
                <c:pt idx="5">
                  <c:v>4</c:v>
                </c:pt>
                <c:pt idx="6">
                  <c:v>5</c:v>
                </c:pt>
                <c:pt idx="7">
                  <c:v>5</c:v>
                </c:pt>
                <c:pt idx="8">
                  <c:v>5</c:v>
                </c:pt>
              </c:numCache>
            </c:numRef>
          </c:val>
          <c:extLst>
            <c:ext xmlns:c16="http://schemas.microsoft.com/office/drawing/2014/chart" uri="{C3380CC4-5D6E-409C-BE32-E72D297353CC}">
              <c16:uniqueId val="{00000002-EB75-4E4E-A4B5-3E005C4E8A2A}"/>
            </c:ext>
          </c:extLst>
        </c:ser>
        <c:ser>
          <c:idx val="3"/>
          <c:order val="3"/>
          <c:tx>
            <c:strRef>
              <c:f>'Situación Futura'!$L$121</c:f>
              <c:strCache>
                <c:ptCount val="1"/>
                <c:pt idx="0">
                  <c:v>CM</c:v>
                </c:pt>
              </c:strCache>
            </c:strRef>
          </c:tx>
          <c:spPr>
            <a:ln w="28575" cap="rnd">
              <a:solidFill>
                <a:schemeClr val="accent4"/>
              </a:solidFill>
              <a:round/>
            </a:ln>
            <a:effectLst/>
          </c:spPr>
          <c:marker>
            <c:symbol val="none"/>
          </c:marker>
          <c:cat>
            <c:strRef>
              <c:f>'Situación Futura'!$B$122:$H$130</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'Situación Futura'!$L$122:$L$130</c:f>
              <c:numCache>
                <c:formatCode>0.0</c:formatCode>
                <c:ptCount val="9"/>
                <c:pt idx="0">
                  <c:v>5</c:v>
                </c:pt>
                <c:pt idx="1">
                  <c:v>5</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03-EB75-4E4E-A4B5-3E005C4E8A2A}"/>
            </c:ext>
          </c:extLst>
        </c:ser>
        <c:dLbls>
          <c:showLegendKey val="0"/>
          <c:showVal val="0"/>
          <c:showCatName val="0"/>
          <c:showSerName val="0"/>
          <c:showPercent val="0"/>
          <c:showBubbleSize val="0"/>
        </c:dLbls>
        <c:axId val="565474808"/>
        <c:axId val="565471288"/>
      </c:radarChart>
      <c:catAx>
        <c:axId val="565474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1288"/>
        <c:crosses val="autoZero"/>
        <c:auto val="1"/>
        <c:lblAlgn val="ctr"/>
        <c:lblOffset val="100"/>
        <c:noMultiLvlLbl val="0"/>
      </c:catAx>
      <c:valAx>
        <c:axId val="565471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4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Palatino Linotype" panose="0204050205050503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Palatino Linotype" panose="02040502050505030304" pitchFamily="18" charset="0"/>
                <a:ea typeface="+mn-ea"/>
                <a:cs typeface="+mn-cs"/>
              </a:defRPr>
            </a:pPr>
            <a:r>
              <a:rPr lang="en-US" sz="1600" b="1">
                <a:solidFill>
                  <a:sysClr val="windowText" lastClr="000000"/>
                </a:solidFill>
              </a:rPr>
              <a:t>Situación actual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Palatino Linotype" panose="02040502050505030304" pitchFamily="18" charset="0"/>
              <a:ea typeface="+mn-ea"/>
              <a:cs typeface="+mn-cs"/>
            </a:defRPr>
          </a:pPr>
          <a:endParaRPr lang="es-CO"/>
        </a:p>
      </c:txPr>
    </c:title>
    <c:autoTitleDeleted val="0"/>
    <c:plotArea>
      <c:layout/>
      <c:radarChart>
        <c:radarStyle val="marker"/>
        <c:varyColors val="0"/>
        <c:ser>
          <c:idx val="2"/>
          <c:order val="2"/>
          <c:tx>
            <c:strRef>
              <c:f>'1. V.Inicial- DX (Gestor)'!$E$43</c:f>
              <c:strCache>
                <c:ptCount val="1"/>
                <c:pt idx="0">
                  <c:v>Cal.</c:v>
                </c:pt>
              </c:strCache>
            </c:strRef>
          </c:tx>
          <c:spPr>
            <a:ln w="28575" cap="rnd">
              <a:solidFill>
                <a:schemeClr val="accent3"/>
              </a:solidFill>
              <a:round/>
            </a:ln>
            <a:effectLst/>
          </c:spPr>
          <c:marker>
            <c:symbol val="none"/>
          </c:marker>
          <c:cat>
            <c:strRef>
              <c:f>'1. V.Inicial- DX (Gestor)'!$B$44:$B$52</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'1. V.Inicial- DX (Gestor)'!$E$44:$E$52</c:f>
              <c:numCache>
                <c:formatCode>General</c:formatCode>
                <c:ptCount val="9"/>
                <c:pt idx="0">
                  <c:v>2.5</c:v>
                </c:pt>
                <c:pt idx="1">
                  <c:v>2</c:v>
                </c:pt>
                <c:pt idx="2">
                  <c:v>0</c:v>
                </c:pt>
                <c:pt idx="3">
                  <c:v>4.6363636363636367</c:v>
                </c:pt>
                <c:pt idx="4">
                  <c:v>1</c:v>
                </c:pt>
                <c:pt idx="5">
                  <c:v>2.3333333333333335</c:v>
                </c:pt>
                <c:pt idx="6">
                  <c:v>3</c:v>
                </c:pt>
                <c:pt idx="7">
                  <c:v>4.2</c:v>
                </c:pt>
                <c:pt idx="8">
                  <c:v>5</c:v>
                </c:pt>
              </c:numCache>
            </c:numRef>
          </c:val>
          <c:extLst>
            <c:ext xmlns:c16="http://schemas.microsoft.com/office/drawing/2014/chart" uri="{C3380CC4-5D6E-409C-BE32-E72D297353CC}">
              <c16:uniqueId val="{00000000-247B-426B-8801-DDD381C4F85D}"/>
            </c:ext>
          </c:extLst>
        </c:ser>
        <c:ser>
          <c:idx val="3"/>
          <c:order val="3"/>
          <c:tx>
            <c:strRef>
              <c:f>'1. V.Inicial- DX (Gestor)'!$F$43</c:f>
              <c:strCache>
                <c:ptCount val="1"/>
                <c:pt idx="0">
                  <c:v>CM</c:v>
                </c:pt>
              </c:strCache>
            </c:strRef>
          </c:tx>
          <c:spPr>
            <a:ln w="28575" cap="rnd">
              <a:solidFill>
                <a:schemeClr val="accent4"/>
              </a:solidFill>
              <a:round/>
            </a:ln>
            <a:effectLst/>
          </c:spPr>
          <c:marker>
            <c:symbol val="none"/>
          </c:marker>
          <c:cat>
            <c:strRef>
              <c:f>'1. V.Inicial- DX (Gestor)'!$B$44:$B$52</c:f>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f>'1. V.Inicial- DX (Gestor)'!$F$44:$F$52</c:f>
              <c:numCache>
                <c:formatCode>0.0</c:formatCode>
                <c:ptCount val="9"/>
                <c:pt idx="0">
                  <c:v>5</c:v>
                </c:pt>
                <c:pt idx="1">
                  <c:v>5</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01-247B-426B-8801-DDD381C4F85D}"/>
            </c:ext>
          </c:extLst>
        </c:ser>
        <c:dLbls>
          <c:showLegendKey val="0"/>
          <c:showVal val="0"/>
          <c:showCatName val="0"/>
          <c:showSerName val="0"/>
          <c:showPercent val="0"/>
          <c:showBubbleSize val="0"/>
        </c:dLbls>
        <c:axId val="565474808"/>
        <c:axId val="565471288"/>
        <c:extLst>
          <c:ext xmlns:c15="http://schemas.microsoft.com/office/drawing/2012/chart" uri="{02D57815-91ED-43cb-92C2-25804820EDAC}">
            <c15:filteredRadarSeries>
              <c15:ser>
                <c:idx val="0"/>
                <c:order val="0"/>
                <c:tx>
                  <c:strRef>
                    <c:extLst>
                      <c:ext uri="{02D57815-91ED-43cb-92C2-25804820EDAC}">
                        <c15:formulaRef>
                          <c15:sqref>'1. V.Inicial- DX (Gestor)'!$C$43</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'1. V.Inicial- DX (Gestor)'!$B$44:$B$52</c15:sqref>
                        </c15:formulaRef>
                      </c:ext>
                    </c:extLst>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extLst>
                      <c:ext uri="{02D57815-91ED-43cb-92C2-25804820EDAC}">
                        <c15:formulaRef>
                          <c15:sqref>'1. V.Inicial- DX (Gestor)'!$C$44:$C$52</c15:sqref>
                        </c15:formulaRef>
                      </c:ext>
                    </c:extLst>
                    <c:numCache>
                      <c:formatCode>General</c:formatCode>
                      <c:ptCount val="9"/>
                    </c:numCache>
                  </c:numRef>
                </c:val>
                <c:extLst>
                  <c:ext xmlns:c16="http://schemas.microsoft.com/office/drawing/2014/chart" uri="{C3380CC4-5D6E-409C-BE32-E72D297353CC}">
                    <c16:uniqueId val="{00000000-E8A2-44C3-B8A2-187801BEB87F}"/>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'1. V.Inicial- DX (Gestor)'!$D$43</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'1. V.Inicial- DX (Gestor)'!$B$44:$B$52</c15:sqref>
                        </c15:formulaRef>
                      </c:ext>
                    </c:extLst>
                    <c:strCache>
                      <c:ptCount val="9"/>
                      <c:pt idx="0">
                        <c:v>Gestión comercial</c:v>
                      </c:pt>
                      <c:pt idx="1">
                        <c:v>Productividad operacional</c:v>
                      </c:pt>
                      <c:pt idx="2">
                        <c:v>Productividad laboral</c:v>
                      </c:pt>
                      <c:pt idx="3">
                        <c:v>Eficiencia energética</c:v>
                      </c:pt>
                      <c:pt idx="4">
                        <c:v>Gestión de la calidad</c:v>
                      </c:pt>
                      <c:pt idx="5">
                        <c:v>Desarrollo y sofisticación de producto</c:v>
                      </c:pt>
                      <c:pt idx="6">
                        <c:v>Transformación digital</c:v>
                      </c:pt>
                      <c:pt idx="7">
                        <c:v>Gestión logística</c:v>
                      </c:pt>
                      <c:pt idx="8">
                        <c:v>Sostenibilidad ambiental</c:v>
                      </c:pt>
                    </c:strCache>
                  </c:strRef>
                </c:cat>
                <c:val>
                  <c:numRef>
                    <c:extLst xmlns:c15="http://schemas.microsoft.com/office/drawing/2012/chart">
                      <c:ext xmlns:c15="http://schemas.microsoft.com/office/drawing/2012/chart" uri="{02D57815-91ED-43cb-92C2-25804820EDAC}">
                        <c15:formulaRef>
                          <c15:sqref>'1. V.Inicial- DX (Gestor)'!$D$44:$D$52</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1-E8A2-44C3-B8A2-187801BEB87F}"/>
                  </c:ext>
                </c:extLst>
              </c15:ser>
            </c15:filteredRadarSeries>
          </c:ext>
        </c:extLst>
      </c:radarChart>
      <c:catAx>
        <c:axId val="565474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Palatino Linotype" panose="02040502050505030304" pitchFamily="18" charset="0"/>
                <a:ea typeface="+mn-ea"/>
                <a:cs typeface="+mn-cs"/>
              </a:defRPr>
            </a:pPr>
            <a:endParaRPr lang="es-CO"/>
          </a:p>
        </c:txPr>
        <c:crossAx val="565471288"/>
        <c:crosses val="autoZero"/>
        <c:auto val="1"/>
        <c:lblAlgn val="ctr"/>
        <c:lblOffset val="100"/>
        <c:noMultiLvlLbl val="0"/>
      </c:catAx>
      <c:valAx>
        <c:axId val="565471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Palatino Linotype" panose="02040502050505030304" pitchFamily="18" charset="0"/>
                <a:ea typeface="+mn-ea"/>
                <a:cs typeface="+mn-cs"/>
              </a:defRPr>
            </a:pPr>
            <a:endParaRPr lang="es-CO"/>
          </a:p>
        </c:txPr>
        <c:crossAx val="565474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Palatino Linotype" panose="0204050205050503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8'!A1"/><Relationship Id="rId13" Type="http://schemas.openxmlformats.org/officeDocument/2006/relationships/image" Target="../media/image1.png"/><Relationship Id="rId18" Type="http://schemas.openxmlformats.org/officeDocument/2006/relationships/chart" Target="../charts/chart1.xml"/><Relationship Id="rId3" Type="http://schemas.openxmlformats.org/officeDocument/2006/relationships/hyperlink" Target="#'3'!A1"/><Relationship Id="rId7" Type="http://schemas.openxmlformats.org/officeDocument/2006/relationships/hyperlink" Target="#'7'!A1"/><Relationship Id="rId12" Type="http://schemas.openxmlformats.org/officeDocument/2006/relationships/hyperlink" Target="#Matriz!A1"/><Relationship Id="rId17" Type="http://schemas.openxmlformats.org/officeDocument/2006/relationships/hyperlink" Target="#'4. Acta de Cierre (Ext)'!T&#237;tulos_a_imprimir"/><Relationship Id="rId2" Type="http://schemas.openxmlformats.org/officeDocument/2006/relationships/hyperlink" Target="#'2'!A1"/><Relationship Id="rId16" Type="http://schemas.openxmlformats.org/officeDocument/2006/relationships/hyperlink" Target="#DF!A1"/><Relationship Id="rId1" Type="http://schemas.openxmlformats.org/officeDocument/2006/relationships/hyperlink" Target="#'1'!A1"/><Relationship Id="rId6" Type="http://schemas.openxmlformats.org/officeDocument/2006/relationships/hyperlink" Target="#'6'!A1"/><Relationship Id="rId11" Type="http://schemas.openxmlformats.org/officeDocument/2006/relationships/hyperlink" Target="#'Situaci&#243;n Futura'!A1"/><Relationship Id="rId5" Type="http://schemas.openxmlformats.org/officeDocument/2006/relationships/hyperlink" Target="#'5'!A1"/><Relationship Id="rId15" Type="http://schemas.openxmlformats.org/officeDocument/2006/relationships/hyperlink" Target="#'2. Plan de Trabajo (Ext)'!A1"/><Relationship Id="rId10" Type="http://schemas.openxmlformats.org/officeDocument/2006/relationships/hyperlink" Target="#'Situaci&#243;n actual'!A1"/><Relationship Id="rId19" Type="http://schemas.openxmlformats.org/officeDocument/2006/relationships/chart" Target="../charts/chart2.xml"/><Relationship Id="rId4" Type="http://schemas.openxmlformats.org/officeDocument/2006/relationships/hyperlink" Target="#'4'!A1"/><Relationship Id="rId9" Type="http://schemas.openxmlformats.org/officeDocument/2006/relationships/hyperlink" Target="#'9'!A1"/><Relationship Id="rId14" Type="http://schemas.openxmlformats.org/officeDocument/2006/relationships/hyperlink" Target="#'1. V.Inicial- DX (Gestor)'!&#193;rea_de_impresi&#243;n"/></Relationships>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4. Acta de Cierre (Ext)'!T&#237;tulos_a_imprimir"/><Relationship Id="rId2" Type="http://schemas.openxmlformats.org/officeDocument/2006/relationships/hyperlink" Target="#'2. Plan de Trabajo (Ext)'!A1"/><Relationship Id="rId1" Type="http://schemas.openxmlformats.org/officeDocument/2006/relationships/hyperlink" Target="#'1. V.Inicial- DX (Gestor)'!&#193;rea_de_impresi&#243;n"/></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5" Type="http://schemas.openxmlformats.org/officeDocument/2006/relationships/chart" Target="../charts/chart5.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7.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xdr:row>
      <xdr:rowOff>137583</xdr:rowOff>
    </xdr:from>
    <xdr:to>
      <xdr:col>12</xdr:col>
      <xdr:colOff>330975</xdr:colOff>
      <xdr:row>9</xdr:row>
      <xdr:rowOff>343149</xdr:rowOff>
    </xdr:to>
    <xdr:sp macro="" textlink="">
      <xdr:nvSpPr>
        <xdr:cNvPr id="2" name="Rectángulo: esquinas redondeadas 1">
          <a:extLst>
            <a:ext uri="{FF2B5EF4-FFF2-40B4-BE49-F238E27FC236}">
              <a16:creationId xmlns:a16="http://schemas.microsoft.com/office/drawing/2014/main" id="{2826DCC2-6A61-4A1A-AEC4-B73C8E00A67D}"/>
            </a:ext>
          </a:extLst>
        </xdr:cNvPr>
        <xdr:cNvSpPr/>
      </xdr:nvSpPr>
      <xdr:spPr>
        <a:xfrm>
          <a:off x="698500" y="1788583"/>
          <a:ext cx="3833000" cy="565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Diagnóstico</a:t>
          </a:r>
          <a:r>
            <a:rPr lang="es-CO" sz="2000" b="1" baseline="0">
              <a:solidFill>
                <a:sysClr val="windowText" lastClr="000000"/>
              </a:solidFill>
              <a:latin typeface="Palatino Linotype" panose="02040502050505030304" pitchFamily="18" charset="0"/>
            </a:rPr>
            <a:t> General</a:t>
          </a:r>
          <a:endParaRPr lang="es-CO" sz="2000" b="1">
            <a:solidFill>
              <a:sysClr val="windowText" lastClr="000000"/>
            </a:solidFill>
            <a:latin typeface="Palatino Linotype" panose="02040502050505030304" pitchFamily="18" charset="0"/>
          </a:endParaRPr>
        </a:p>
      </xdr:txBody>
    </xdr:sp>
    <xdr:clientData/>
  </xdr:twoCellAnchor>
  <xdr:twoCellAnchor editAs="oneCell">
    <xdr:from>
      <xdr:col>2</xdr:col>
      <xdr:colOff>0</xdr:colOff>
      <xdr:row>10</xdr:row>
      <xdr:rowOff>123473</xdr:rowOff>
    </xdr:from>
    <xdr:to>
      <xdr:col>12</xdr:col>
      <xdr:colOff>330975</xdr:colOff>
      <xdr:row>12</xdr:row>
      <xdr:rowOff>64456</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7C3C71AB-CC03-411C-A289-EBFD091B3D73}"/>
            </a:ext>
          </a:extLst>
        </xdr:cNvPr>
        <xdr:cNvSpPr/>
      </xdr:nvSpPr>
      <xdr:spPr>
        <a:xfrm>
          <a:off x="698500" y="2525890"/>
          <a:ext cx="3833000" cy="56540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1.</a:t>
          </a:r>
          <a:r>
            <a:rPr lang="es-CO" sz="2000" b="1" baseline="0">
              <a:solidFill>
                <a:sysClr val="windowText" lastClr="000000"/>
              </a:solidFill>
              <a:latin typeface="Palatino Linotype" panose="02040502050505030304" pitchFamily="18" charset="0"/>
            </a:rPr>
            <a:t> Gestión comercial</a:t>
          </a:r>
          <a:endParaRPr lang="es-CO" sz="2000" b="1">
            <a:solidFill>
              <a:sysClr val="windowText" lastClr="000000"/>
            </a:solidFill>
            <a:latin typeface="Palatino Linotype" panose="02040502050505030304" pitchFamily="18" charset="0"/>
          </a:endParaRPr>
        </a:p>
      </xdr:txBody>
    </xdr:sp>
    <xdr:clientData/>
  </xdr:twoCellAnchor>
  <xdr:twoCellAnchor editAs="oneCell">
    <xdr:from>
      <xdr:col>1</xdr:col>
      <xdr:colOff>328083</xdr:colOff>
      <xdr:row>12</xdr:row>
      <xdr:rowOff>306917</xdr:rowOff>
    </xdr:from>
    <xdr:to>
      <xdr:col>12</xdr:col>
      <xdr:colOff>312983</xdr:colOff>
      <xdr:row>14</xdr:row>
      <xdr:rowOff>46817</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FDF8312C-D95F-465E-937F-F39295844C04}"/>
            </a:ext>
          </a:extLst>
        </xdr:cNvPr>
        <xdr:cNvSpPr/>
      </xdr:nvSpPr>
      <xdr:spPr>
        <a:xfrm>
          <a:off x="677333" y="3016250"/>
          <a:ext cx="3833000" cy="56540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2.</a:t>
          </a:r>
          <a:r>
            <a:rPr lang="es-CO" sz="2000" b="1" baseline="0">
              <a:solidFill>
                <a:sysClr val="windowText" lastClr="000000"/>
              </a:solidFill>
              <a:latin typeface="Palatino Linotype" panose="02040502050505030304" pitchFamily="18" charset="0"/>
            </a:rPr>
            <a:t> Productividad operacional</a:t>
          </a:r>
          <a:endParaRPr lang="es-CO" sz="2000" b="1">
            <a:solidFill>
              <a:sysClr val="windowText" lastClr="000000"/>
            </a:solidFill>
            <a:latin typeface="Palatino Linotype" panose="02040502050505030304" pitchFamily="18" charset="0"/>
          </a:endParaRPr>
        </a:p>
      </xdr:txBody>
    </xdr:sp>
    <xdr:clientData/>
  </xdr:twoCellAnchor>
  <xdr:twoCellAnchor editAs="oneCell">
    <xdr:from>
      <xdr:col>1</xdr:col>
      <xdr:colOff>296333</xdr:colOff>
      <xdr:row>14</xdr:row>
      <xdr:rowOff>275167</xdr:rowOff>
    </xdr:from>
    <xdr:to>
      <xdr:col>12</xdr:col>
      <xdr:colOff>287583</xdr:colOff>
      <xdr:row>15</xdr:row>
      <xdr:rowOff>368551</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477B64DF-3A98-4722-AA7E-5097C7CCCB69}"/>
            </a:ext>
          </a:extLst>
        </xdr:cNvPr>
        <xdr:cNvSpPr/>
      </xdr:nvSpPr>
      <xdr:spPr>
        <a:xfrm>
          <a:off x="645583" y="3810000"/>
          <a:ext cx="3833000" cy="56540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3. Productividad laboral</a:t>
          </a:r>
        </a:p>
      </xdr:txBody>
    </xdr:sp>
    <xdr:clientData/>
  </xdr:twoCellAnchor>
  <xdr:twoCellAnchor editAs="oneCell">
    <xdr:from>
      <xdr:col>1</xdr:col>
      <xdr:colOff>275166</xdr:colOff>
      <xdr:row>16</xdr:row>
      <xdr:rowOff>169333</xdr:rowOff>
    </xdr:from>
    <xdr:to>
      <xdr:col>12</xdr:col>
      <xdr:colOff>266416</xdr:colOff>
      <xdr:row>17</xdr:row>
      <xdr:rowOff>16934</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4A126180-4AC6-4713-8FFF-0F8BDF0950E3}"/>
            </a:ext>
          </a:extLst>
        </xdr:cNvPr>
        <xdr:cNvSpPr/>
      </xdr:nvSpPr>
      <xdr:spPr>
        <a:xfrm>
          <a:off x="624416" y="4635500"/>
          <a:ext cx="3833000" cy="56540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4. Eficiencia energética</a:t>
          </a:r>
        </a:p>
      </xdr:txBody>
    </xdr:sp>
    <xdr:clientData/>
  </xdr:twoCellAnchor>
  <xdr:twoCellAnchor editAs="oneCell">
    <xdr:from>
      <xdr:col>1</xdr:col>
      <xdr:colOff>280458</xdr:colOff>
      <xdr:row>17</xdr:row>
      <xdr:rowOff>428625</xdr:rowOff>
    </xdr:from>
    <xdr:to>
      <xdr:col>12</xdr:col>
      <xdr:colOff>97083</xdr:colOff>
      <xdr:row>19</xdr:row>
      <xdr:rowOff>21415</xdr:rowOff>
    </xdr:to>
    <xdr:sp macro="" textlink="">
      <xdr:nvSpPr>
        <xdr:cNvPr id="16" name="Rectángulo: esquinas redondeadas 6">
          <a:hlinkClick xmlns:r="http://schemas.openxmlformats.org/officeDocument/2006/relationships" r:id="rId5"/>
          <a:extLst>
            <a:ext uri="{FF2B5EF4-FFF2-40B4-BE49-F238E27FC236}">
              <a16:creationId xmlns:a16="http://schemas.microsoft.com/office/drawing/2014/main" id="{1957DA24-3D28-473F-88E8-BCC2BD5A75F9}"/>
            </a:ext>
          </a:extLst>
        </xdr:cNvPr>
        <xdr:cNvSpPr/>
      </xdr:nvSpPr>
      <xdr:spPr>
        <a:xfrm>
          <a:off x="613833" y="5111750"/>
          <a:ext cx="3658375" cy="560107"/>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5. Gestión de calidad</a:t>
          </a:r>
        </a:p>
      </xdr:txBody>
    </xdr:sp>
    <xdr:clientData/>
  </xdr:twoCellAnchor>
  <xdr:twoCellAnchor editAs="oneCell">
    <xdr:from>
      <xdr:col>1</xdr:col>
      <xdr:colOff>306917</xdr:colOff>
      <xdr:row>20</xdr:row>
      <xdr:rowOff>10584</xdr:rowOff>
    </xdr:from>
    <xdr:to>
      <xdr:col>12</xdr:col>
      <xdr:colOff>123542</xdr:colOff>
      <xdr:row>24</xdr:row>
      <xdr:rowOff>144351</xdr:rowOff>
    </xdr:to>
    <xdr:sp macro="" textlink="">
      <xdr:nvSpPr>
        <xdr:cNvPr id="28" name="Rectángulo: esquinas redondeadas 7">
          <a:hlinkClick xmlns:r="http://schemas.openxmlformats.org/officeDocument/2006/relationships" r:id="rId6"/>
          <a:extLst>
            <a:ext uri="{FF2B5EF4-FFF2-40B4-BE49-F238E27FC236}">
              <a16:creationId xmlns:a16="http://schemas.microsoft.com/office/drawing/2014/main" id="{34F84205-130C-486A-9E61-39F543F0F231}"/>
            </a:ext>
          </a:extLst>
        </xdr:cNvPr>
        <xdr:cNvSpPr/>
      </xdr:nvSpPr>
      <xdr:spPr>
        <a:xfrm>
          <a:off x="640292" y="5995459"/>
          <a:ext cx="3658375" cy="921167"/>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6. Desarrollo y sofisticación del</a:t>
          </a:r>
          <a:r>
            <a:rPr lang="es-CO" sz="2000" b="1" baseline="0">
              <a:solidFill>
                <a:sysClr val="windowText" lastClr="000000"/>
              </a:solidFill>
              <a:latin typeface="Palatino Linotype" panose="02040502050505030304" pitchFamily="18" charset="0"/>
            </a:rPr>
            <a:t> </a:t>
          </a:r>
          <a:r>
            <a:rPr lang="es-CO" sz="2000" b="1">
              <a:solidFill>
                <a:sysClr val="windowText" lastClr="000000"/>
              </a:solidFill>
              <a:latin typeface="Palatino Linotype" panose="02040502050505030304" pitchFamily="18" charset="0"/>
            </a:rPr>
            <a:t>producto</a:t>
          </a:r>
        </a:p>
      </xdr:txBody>
    </xdr:sp>
    <xdr:clientData/>
  </xdr:twoCellAnchor>
  <xdr:twoCellAnchor editAs="oneCell">
    <xdr:from>
      <xdr:col>1</xdr:col>
      <xdr:colOff>285751</xdr:colOff>
      <xdr:row>26</xdr:row>
      <xdr:rowOff>84670</xdr:rowOff>
    </xdr:from>
    <xdr:to>
      <xdr:col>12</xdr:col>
      <xdr:colOff>277001</xdr:colOff>
      <xdr:row>29</xdr:row>
      <xdr:rowOff>103970</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ADE274DD-5A56-4461-886D-FD224F3041B0}"/>
            </a:ext>
          </a:extLst>
        </xdr:cNvPr>
        <xdr:cNvSpPr/>
      </xdr:nvSpPr>
      <xdr:spPr>
        <a:xfrm>
          <a:off x="635001" y="7006170"/>
          <a:ext cx="3833000" cy="56540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7. Transformación digital</a:t>
          </a:r>
        </a:p>
      </xdr:txBody>
    </xdr:sp>
    <xdr:clientData/>
  </xdr:twoCellAnchor>
  <xdr:twoCellAnchor editAs="oneCell">
    <xdr:from>
      <xdr:col>1</xdr:col>
      <xdr:colOff>296334</xdr:colOff>
      <xdr:row>30</xdr:row>
      <xdr:rowOff>169334</xdr:rowOff>
    </xdr:from>
    <xdr:to>
      <xdr:col>12</xdr:col>
      <xdr:colOff>112959</xdr:colOff>
      <xdr:row>34</xdr:row>
      <xdr:rowOff>7658</xdr:rowOff>
    </xdr:to>
    <xdr:sp macro="" textlink="">
      <xdr:nvSpPr>
        <xdr:cNvPr id="27" name="Rectángulo: esquinas redondeadas 9">
          <a:hlinkClick xmlns:r="http://schemas.openxmlformats.org/officeDocument/2006/relationships" r:id="rId8"/>
          <a:extLst>
            <a:ext uri="{FF2B5EF4-FFF2-40B4-BE49-F238E27FC236}">
              <a16:creationId xmlns:a16="http://schemas.microsoft.com/office/drawing/2014/main" id="{C4D4CD8A-D0C7-448C-B63C-DB73AFD1E156}"/>
            </a:ext>
          </a:extLst>
        </xdr:cNvPr>
        <xdr:cNvSpPr/>
      </xdr:nvSpPr>
      <xdr:spPr>
        <a:xfrm>
          <a:off x="629709" y="7979834"/>
          <a:ext cx="3658375" cy="549524"/>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8. Gestión logística</a:t>
          </a:r>
        </a:p>
      </xdr:txBody>
    </xdr:sp>
    <xdr:clientData/>
  </xdr:twoCellAnchor>
  <xdr:twoCellAnchor editAs="oneCell">
    <xdr:from>
      <xdr:col>1</xdr:col>
      <xdr:colOff>322792</xdr:colOff>
      <xdr:row>35</xdr:row>
      <xdr:rowOff>42332</xdr:rowOff>
    </xdr:from>
    <xdr:to>
      <xdr:col>12</xdr:col>
      <xdr:colOff>139417</xdr:colOff>
      <xdr:row>38</xdr:row>
      <xdr:rowOff>46816</xdr:rowOff>
    </xdr:to>
    <xdr:sp macro="" textlink="">
      <xdr:nvSpPr>
        <xdr:cNvPr id="26" name="Rectángulo: esquinas redondeadas 10">
          <a:hlinkClick xmlns:r="http://schemas.openxmlformats.org/officeDocument/2006/relationships" r:id="rId9"/>
          <a:extLst>
            <a:ext uri="{FF2B5EF4-FFF2-40B4-BE49-F238E27FC236}">
              <a16:creationId xmlns:a16="http://schemas.microsoft.com/office/drawing/2014/main" id="{C9D924AE-CCB4-48D4-AD2E-0DB1D11248CB}"/>
            </a:ext>
          </a:extLst>
        </xdr:cNvPr>
        <xdr:cNvSpPr/>
      </xdr:nvSpPr>
      <xdr:spPr>
        <a:xfrm>
          <a:off x="656167" y="8725957"/>
          <a:ext cx="3658375" cy="537884"/>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9. Sostenibilidad ambiental</a:t>
          </a:r>
        </a:p>
      </xdr:txBody>
    </xdr:sp>
    <xdr:clientData/>
  </xdr:twoCellAnchor>
  <xdr:twoCellAnchor editAs="oneCell">
    <xdr:from>
      <xdr:col>15</xdr:col>
      <xdr:colOff>105833</xdr:colOff>
      <xdr:row>25</xdr:row>
      <xdr:rowOff>42334</xdr:rowOff>
    </xdr:from>
    <xdr:to>
      <xdr:col>24</xdr:col>
      <xdr:colOff>2891</xdr:colOff>
      <xdr:row>28</xdr:row>
      <xdr:rowOff>67985</xdr:rowOff>
    </xdr:to>
    <xdr:sp macro="" textlink="">
      <xdr:nvSpPr>
        <xdr:cNvPr id="12" name="Rectángulo: esquinas redondeadas 11">
          <a:hlinkClick xmlns:r="http://schemas.openxmlformats.org/officeDocument/2006/relationships" r:id="rId10"/>
          <a:extLst>
            <a:ext uri="{FF2B5EF4-FFF2-40B4-BE49-F238E27FC236}">
              <a16:creationId xmlns:a16="http://schemas.microsoft.com/office/drawing/2014/main" id="{1CD552E4-DAB4-4DF5-AA51-7619B4A385B8}"/>
            </a:ext>
          </a:extLst>
        </xdr:cNvPr>
        <xdr:cNvSpPr/>
      </xdr:nvSpPr>
      <xdr:spPr>
        <a:xfrm>
          <a:off x="5344583" y="7122584"/>
          <a:ext cx="3833000" cy="565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Radar de</a:t>
          </a:r>
          <a:r>
            <a:rPr lang="es-CO" sz="2000" b="1" baseline="0">
              <a:solidFill>
                <a:sysClr val="windowText" lastClr="000000"/>
              </a:solidFill>
              <a:latin typeface="Palatino Linotype" panose="02040502050505030304" pitchFamily="18" charset="0"/>
            </a:rPr>
            <a:t> la situación actual</a:t>
          </a:r>
          <a:endParaRPr lang="es-CO" sz="2000" b="1">
            <a:solidFill>
              <a:sysClr val="windowText" lastClr="000000"/>
            </a:solidFill>
            <a:latin typeface="Palatino Linotype" panose="02040502050505030304" pitchFamily="18" charset="0"/>
          </a:endParaRPr>
        </a:p>
      </xdr:txBody>
    </xdr:sp>
    <xdr:clientData/>
  </xdr:twoCellAnchor>
  <xdr:twoCellAnchor editAs="oneCell">
    <xdr:from>
      <xdr:col>15</xdr:col>
      <xdr:colOff>105833</xdr:colOff>
      <xdr:row>29</xdr:row>
      <xdr:rowOff>84666</xdr:rowOff>
    </xdr:from>
    <xdr:to>
      <xdr:col>24</xdr:col>
      <xdr:colOff>2891</xdr:colOff>
      <xdr:row>32</xdr:row>
      <xdr:rowOff>103965</xdr:rowOff>
    </xdr:to>
    <xdr:sp macro="" textlink="">
      <xdr:nvSpPr>
        <xdr:cNvPr id="13" name="Rectángulo: esquinas redondeadas 12">
          <a:hlinkClick xmlns:r="http://schemas.openxmlformats.org/officeDocument/2006/relationships" r:id="rId11"/>
          <a:extLst>
            <a:ext uri="{FF2B5EF4-FFF2-40B4-BE49-F238E27FC236}">
              <a16:creationId xmlns:a16="http://schemas.microsoft.com/office/drawing/2014/main" id="{170E9181-77AB-48F0-BE01-7CEEE3CC3682}"/>
            </a:ext>
          </a:extLst>
        </xdr:cNvPr>
        <xdr:cNvSpPr/>
      </xdr:nvSpPr>
      <xdr:spPr>
        <a:xfrm>
          <a:off x="5344583" y="7884583"/>
          <a:ext cx="3833000" cy="565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Radar de la situación</a:t>
          </a:r>
          <a:r>
            <a:rPr lang="es-CO" sz="2000" b="1" baseline="0">
              <a:solidFill>
                <a:sysClr val="windowText" lastClr="000000"/>
              </a:solidFill>
              <a:latin typeface="Palatino Linotype" panose="02040502050505030304" pitchFamily="18" charset="0"/>
            </a:rPr>
            <a:t> futura</a:t>
          </a:r>
          <a:endParaRPr lang="es-CO" sz="2000" b="1">
            <a:solidFill>
              <a:sysClr val="windowText" lastClr="000000"/>
            </a:solidFill>
            <a:latin typeface="Palatino Linotype" panose="02040502050505030304" pitchFamily="18" charset="0"/>
          </a:endParaRPr>
        </a:p>
      </xdr:txBody>
    </xdr:sp>
    <xdr:clientData/>
  </xdr:twoCellAnchor>
  <xdr:twoCellAnchor editAs="oneCell">
    <xdr:from>
      <xdr:col>15</xdr:col>
      <xdr:colOff>95250</xdr:colOff>
      <xdr:row>33</xdr:row>
      <xdr:rowOff>95250</xdr:rowOff>
    </xdr:from>
    <xdr:to>
      <xdr:col>24</xdr:col>
      <xdr:colOff>1833</xdr:colOff>
      <xdr:row>39</xdr:row>
      <xdr:rowOff>152401</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DC262E39-6C7D-476F-BE12-82E73DDE870F}"/>
            </a:ext>
          </a:extLst>
        </xdr:cNvPr>
        <xdr:cNvSpPr/>
      </xdr:nvSpPr>
      <xdr:spPr>
        <a:xfrm>
          <a:off x="5334000" y="8614833"/>
          <a:ext cx="3833000" cy="113665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Matriz</a:t>
          </a:r>
          <a:r>
            <a:rPr lang="es-CO" sz="2000" b="1" baseline="0">
              <a:solidFill>
                <a:sysClr val="windowText" lastClr="000000"/>
              </a:solidFill>
              <a:latin typeface="Palatino Linotype" panose="02040502050505030304" pitchFamily="18" charset="0"/>
            </a:rPr>
            <a:t> de mejores prácticas</a:t>
          </a:r>
        </a:p>
        <a:p>
          <a:pPr algn="l"/>
          <a:r>
            <a:rPr lang="es-CO" sz="2000" b="1" baseline="0">
              <a:solidFill>
                <a:sysClr val="windowText" lastClr="000000"/>
              </a:solidFill>
              <a:latin typeface="Palatino Linotype" panose="02040502050505030304" pitchFamily="18" charset="0"/>
            </a:rPr>
            <a:t>vs desempeño</a:t>
          </a:r>
          <a:endParaRPr lang="es-CO" sz="2000" b="1">
            <a:solidFill>
              <a:sysClr val="windowText" lastClr="000000"/>
            </a:solidFill>
            <a:latin typeface="Palatino Linotype" panose="02040502050505030304" pitchFamily="18" charset="0"/>
          </a:endParaRPr>
        </a:p>
      </xdr:txBody>
    </xdr:sp>
    <xdr:clientData/>
  </xdr:twoCellAnchor>
  <xdr:twoCellAnchor editAs="oneCell">
    <xdr:from>
      <xdr:col>27</xdr:col>
      <xdr:colOff>444500</xdr:colOff>
      <xdr:row>0</xdr:row>
      <xdr:rowOff>52917</xdr:rowOff>
    </xdr:from>
    <xdr:to>
      <xdr:col>31</xdr:col>
      <xdr:colOff>143933</xdr:colOff>
      <xdr:row>7</xdr:row>
      <xdr:rowOff>122767</xdr:rowOff>
    </xdr:to>
    <xdr:pic>
      <xdr:nvPicPr>
        <xdr:cNvPr id="15" name="Imagen 14">
          <a:extLst>
            <a:ext uri="{FF2B5EF4-FFF2-40B4-BE49-F238E27FC236}">
              <a16:creationId xmlns:a16="http://schemas.microsoft.com/office/drawing/2014/main" id="{710C778F-800A-4001-B7BE-B8F3EAA3A7D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091333" y="52917"/>
          <a:ext cx="2070100" cy="1001183"/>
        </a:xfrm>
        <a:prstGeom prst="rect">
          <a:avLst/>
        </a:prstGeom>
      </xdr:spPr>
    </xdr:pic>
    <xdr:clientData/>
  </xdr:twoCellAnchor>
  <xdr:twoCellAnchor editAs="oneCell">
    <xdr:from>
      <xdr:col>25</xdr:col>
      <xdr:colOff>31750</xdr:colOff>
      <xdr:row>25</xdr:row>
      <xdr:rowOff>52918</xdr:rowOff>
    </xdr:from>
    <xdr:to>
      <xdr:col>31</xdr:col>
      <xdr:colOff>315100</xdr:colOff>
      <xdr:row>28</xdr:row>
      <xdr:rowOff>78569</xdr:rowOff>
    </xdr:to>
    <xdr:sp macro="" textlink="">
      <xdr:nvSpPr>
        <xdr:cNvPr id="19" name="Rectángulo: esquinas redondeadas 18">
          <a:hlinkClick xmlns:r="http://schemas.openxmlformats.org/officeDocument/2006/relationships" r:id="rId14"/>
          <a:extLst>
            <a:ext uri="{FF2B5EF4-FFF2-40B4-BE49-F238E27FC236}">
              <a16:creationId xmlns:a16="http://schemas.microsoft.com/office/drawing/2014/main" id="{D734BFA0-8E81-4376-B9BB-3067FC685497}"/>
            </a:ext>
          </a:extLst>
        </xdr:cNvPr>
        <xdr:cNvSpPr/>
      </xdr:nvSpPr>
      <xdr:spPr>
        <a:xfrm>
          <a:off x="9493250" y="7461251"/>
          <a:ext cx="3833000" cy="565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Resultados Diagnóstico</a:t>
          </a:r>
        </a:p>
      </xdr:txBody>
    </xdr:sp>
    <xdr:clientData/>
  </xdr:twoCellAnchor>
  <xdr:twoCellAnchor editAs="oneCell">
    <xdr:from>
      <xdr:col>25</xdr:col>
      <xdr:colOff>78316</xdr:colOff>
      <xdr:row>29</xdr:row>
      <xdr:rowOff>88901</xdr:rowOff>
    </xdr:from>
    <xdr:to>
      <xdr:col>31</xdr:col>
      <xdr:colOff>355316</xdr:colOff>
      <xdr:row>32</xdr:row>
      <xdr:rowOff>114550</xdr:rowOff>
    </xdr:to>
    <xdr:sp macro="" textlink="">
      <xdr:nvSpPr>
        <xdr:cNvPr id="20" name="Rectángulo: esquinas redondeadas 19">
          <a:hlinkClick xmlns:r="http://schemas.openxmlformats.org/officeDocument/2006/relationships" r:id="rId15"/>
          <a:extLst>
            <a:ext uri="{FF2B5EF4-FFF2-40B4-BE49-F238E27FC236}">
              <a16:creationId xmlns:a16="http://schemas.microsoft.com/office/drawing/2014/main" id="{1C600C72-8DE0-4070-A796-B77D77567B14}"/>
            </a:ext>
          </a:extLst>
        </xdr:cNvPr>
        <xdr:cNvSpPr/>
      </xdr:nvSpPr>
      <xdr:spPr>
        <a:xfrm>
          <a:off x="9539816" y="8216901"/>
          <a:ext cx="3833000" cy="565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Plan de Trabajo</a:t>
          </a:r>
        </a:p>
      </xdr:txBody>
    </xdr:sp>
    <xdr:clientData/>
  </xdr:twoCellAnchor>
  <xdr:twoCellAnchor editAs="oneCell">
    <xdr:from>
      <xdr:col>1</xdr:col>
      <xdr:colOff>296333</xdr:colOff>
      <xdr:row>40</xdr:row>
      <xdr:rowOff>10583</xdr:rowOff>
    </xdr:from>
    <xdr:to>
      <xdr:col>12</xdr:col>
      <xdr:colOff>112958</xdr:colOff>
      <xdr:row>42</xdr:row>
      <xdr:rowOff>204507</xdr:rowOff>
    </xdr:to>
    <xdr:sp macro="" textlink="">
      <xdr:nvSpPr>
        <xdr:cNvPr id="25" name="Rectángulo: esquinas redondeadas 20">
          <a:hlinkClick xmlns:r="http://schemas.openxmlformats.org/officeDocument/2006/relationships" r:id="rId16"/>
          <a:extLst>
            <a:ext uri="{FF2B5EF4-FFF2-40B4-BE49-F238E27FC236}">
              <a16:creationId xmlns:a16="http://schemas.microsoft.com/office/drawing/2014/main" id="{091ACB0D-90AE-4D46-90E9-11DED69C829B}"/>
            </a:ext>
          </a:extLst>
        </xdr:cNvPr>
        <xdr:cNvSpPr/>
      </xdr:nvSpPr>
      <xdr:spPr>
        <a:xfrm>
          <a:off x="629708" y="9567333"/>
          <a:ext cx="3658375" cy="549524"/>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Desempeño</a:t>
          </a:r>
          <a:r>
            <a:rPr lang="es-CO" sz="2000" b="1" baseline="0">
              <a:solidFill>
                <a:sysClr val="windowText" lastClr="000000"/>
              </a:solidFill>
              <a:latin typeface="Palatino Linotype" panose="02040502050505030304" pitchFamily="18" charset="0"/>
            </a:rPr>
            <a:t> Financiero</a:t>
          </a:r>
          <a:endParaRPr lang="es-CO" sz="2000" b="1">
            <a:solidFill>
              <a:sysClr val="windowText" lastClr="000000"/>
            </a:solidFill>
            <a:latin typeface="Palatino Linotype" panose="02040502050505030304" pitchFamily="18" charset="0"/>
          </a:endParaRPr>
        </a:p>
      </xdr:txBody>
    </xdr:sp>
    <xdr:clientData/>
  </xdr:twoCellAnchor>
  <xdr:twoCellAnchor editAs="oneCell">
    <xdr:from>
      <xdr:col>25</xdr:col>
      <xdr:colOff>40216</xdr:colOff>
      <xdr:row>34</xdr:row>
      <xdr:rowOff>8468</xdr:rowOff>
    </xdr:from>
    <xdr:to>
      <xdr:col>31</xdr:col>
      <xdr:colOff>317216</xdr:colOff>
      <xdr:row>37</xdr:row>
      <xdr:rowOff>27769</xdr:rowOff>
    </xdr:to>
    <xdr:sp macro="" textlink="">
      <xdr:nvSpPr>
        <xdr:cNvPr id="22" name="Rectángulo: esquinas redondeadas 21">
          <a:hlinkClick xmlns:r="http://schemas.openxmlformats.org/officeDocument/2006/relationships" r:id="rId17"/>
          <a:extLst>
            <a:ext uri="{FF2B5EF4-FFF2-40B4-BE49-F238E27FC236}">
              <a16:creationId xmlns:a16="http://schemas.microsoft.com/office/drawing/2014/main" id="{11349F4F-A8DC-447A-8287-9C88F3434C4E}"/>
            </a:ext>
          </a:extLst>
        </xdr:cNvPr>
        <xdr:cNvSpPr/>
      </xdr:nvSpPr>
      <xdr:spPr>
        <a:xfrm>
          <a:off x="9501716" y="9036051"/>
          <a:ext cx="3833000" cy="565400"/>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000" b="1">
              <a:solidFill>
                <a:sysClr val="windowText" lastClr="000000"/>
              </a:solidFill>
              <a:latin typeface="Palatino Linotype" panose="02040502050505030304" pitchFamily="18" charset="0"/>
            </a:rPr>
            <a:t>Acta de Cierre</a:t>
          </a:r>
        </a:p>
      </xdr:txBody>
    </xdr:sp>
    <xdr:clientData/>
  </xdr:twoCellAnchor>
  <xdr:twoCellAnchor>
    <xdr:from>
      <xdr:col>0</xdr:col>
      <xdr:colOff>0</xdr:colOff>
      <xdr:row>50</xdr:row>
      <xdr:rowOff>127000</xdr:rowOff>
    </xdr:from>
    <xdr:to>
      <xdr:col>18</xdr:col>
      <xdr:colOff>31750</xdr:colOff>
      <xdr:row>71</xdr:row>
      <xdr:rowOff>137583</xdr:rowOff>
    </xdr:to>
    <xdr:graphicFrame macro="">
      <xdr:nvGraphicFramePr>
        <xdr:cNvPr id="23" name="Gráfico 22">
          <a:extLst>
            <a:ext uri="{FF2B5EF4-FFF2-40B4-BE49-F238E27FC236}">
              <a16:creationId xmlns:a16="http://schemas.microsoft.com/office/drawing/2014/main" id="{68E0ED91-E737-46D8-8866-7A31A87AF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95251</xdr:colOff>
      <xdr:row>50</xdr:row>
      <xdr:rowOff>116416</xdr:rowOff>
    </xdr:from>
    <xdr:to>
      <xdr:col>32</xdr:col>
      <xdr:colOff>21166</xdr:colOff>
      <xdr:row>71</xdr:row>
      <xdr:rowOff>137583</xdr:rowOff>
    </xdr:to>
    <xdr:graphicFrame macro="">
      <xdr:nvGraphicFramePr>
        <xdr:cNvPr id="24" name="Gráfico 23">
          <a:extLst>
            <a:ext uri="{FF2B5EF4-FFF2-40B4-BE49-F238E27FC236}">
              <a16:creationId xmlns:a16="http://schemas.microsoft.com/office/drawing/2014/main" id="{BE10EFBC-8456-4EF8-85D2-A21C4BF98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6</xdr:col>
      <xdr:colOff>952427</xdr:colOff>
      <xdr:row>2</xdr:row>
      <xdr:rowOff>125533</xdr:rowOff>
    </xdr:from>
    <xdr:ext cx="1548129" cy="510285"/>
    <xdr:pic>
      <xdr:nvPicPr>
        <xdr:cNvPr id="2" name="Graphic 7">
          <a:extLst>
            <a:ext uri="{FF2B5EF4-FFF2-40B4-BE49-F238E27FC236}">
              <a16:creationId xmlns:a16="http://schemas.microsoft.com/office/drawing/2014/main" id="{D1F3FC67-D903-464A-AFFB-E557E03B19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028141" y="506533"/>
          <a:ext cx="1548129" cy="510285"/>
        </a:xfrm>
        <a:prstGeom prst="rect">
          <a:avLst/>
        </a:prstGeom>
      </xdr:spPr>
    </xdr:pic>
    <xdr:clientData/>
  </xdr:oneCellAnchor>
  <xdr:oneCellAnchor>
    <xdr:from>
      <xdr:col>4</xdr:col>
      <xdr:colOff>202674</xdr:colOff>
      <xdr:row>2</xdr:row>
      <xdr:rowOff>169427</xdr:rowOff>
    </xdr:from>
    <xdr:ext cx="1961418" cy="413112"/>
    <xdr:pic>
      <xdr:nvPicPr>
        <xdr:cNvPr id="3" name="Picture 29">
          <a:extLst>
            <a:ext uri="{FF2B5EF4-FFF2-40B4-BE49-F238E27FC236}">
              <a16:creationId xmlns:a16="http://schemas.microsoft.com/office/drawing/2014/main" id="{33059CE4-C386-46C3-AD8D-10470073F710}"/>
            </a:ext>
          </a:extLst>
        </xdr:cNvPr>
        <xdr:cNvPicPr>
          <a:picLocks noChangeAspect="1"/>
        </xdr:cNvPicPr>
      </xdr:nvPicPr>
      <xdr:blipFill>
        <a:blip xmlns:r="http://schemas.openxmlformats.org/officeDocument/2006/relationships" r:embed="rId3"/>
        <a:stretch>
          <a:fillRect/>
        </a:stretch>
      </xdr:blipFill>
      <xdr:spPr>
        <a:xfrm>
          <a:off x="5359781" y="550427"/>
          <a:ext cx="1961418" cy="413112"/>
        </a:xfrm>
        <a:prstGeom prst="rect">
          <a:avLst/>
        </a:prstGeom>
      </xdr:spPr>
    </xdr:pic>
    <xdr:clientData/>
  </xdr:oneCellAnchor>
  <xdr:oneCellAnchor>
    <xdr:from>
      <xdr:col>2</xdr:col>
      <xdr:colOff>1911585</xdr:colOff>
      <xdr:row>2</xdr:row>
      <xdr:rowOff>159204</xdr:rowOff>
    </xdr:from>
    <xdr:ext cx="1544395" cy="513212"/>
    <xdr:pic>
      <xdr:nvPicPr>
        <xdr:cNvPr id="4" name="Picture 7">
          <a:extLst>
            <a:ext uri="{FF2B5EF4-FFF2-40B4-BE49-F238E27FC236}">
              <a16:creationId xmlns:a16="http://schemas.microsoft.com/office/drawing/2014/main" id="{D0B69933-FA9A-4406-9C8B-E09D8456C158}"/>
            </a:ext>
          </a:extLst>
        </xdr:cNvPr>
        <xdr:cNvPicPr>
          <a:picLocks noChangeAspect="1"/>
        </xdr:cNvPicPr>
      </xdr:nvPicPr>
      <xdr:blipFill>
        <a:blip xmlns:r="http://schemas.openxmlformats.org/officeDocument/2006/relationships" r:embed="rId4"/>
        <a:stretch>
          <a:fillRect/>
        </a:stretch>
      </xdr:blipFill>
      <xdr:spPr>
        <a:xfrm>
          <a:off x="3068192" y="540204"/>
          <a:ext cx="1544395" cy="51321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192618</xdr:rowOff>
    </xdr:from>
    <xdr:to>
      <xdr:col>2</xdr:col>
      <xdr:colOff>847725</xdr:colOff>
      <xdr:row>5</xdr:row>
      <xdr:rowOff>47625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D73586D-EF18-4B2A-8A1F-93EF32529BD1}"/>
            </a:ext>
          </a:extLst>
        </xdr:cNvPr>
        <xdr:cNvSpPr/>
      </xdr:nvSpPr>
      <xdr:spPr>
        <a:xfrm>
          <a:off x="0" y="929218"/>
          <a:ext cx="3003550" cy="2772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100" b="1">
              <a:solidFill>
                <a:sysClr val="windowText" lastClr="000000"/>
              </a:solidFill>
              <a:latin typeface="Palatino Linotype" panose="02040502050505030304" pitchFamily="18" charset="0"/>
            </a:rPr>
            <a:t>Resultados Diagnóstico</a:t>
          </a:r>
        </a:p>
      </xdr:txBody>
    </xdr:sp>
    <xdr:clientData/>
  </xdr:twoCellAnchor>
  <xdr:twoCellAnchor editAs="oneCell">
    <xdr:from>
      <xdr:col>0</xdr:col>
      <xdr:colOff>0</xdr:colOff>
      <xdr:row>5</xdr:row>
      <xdr:rowOff>196851</xdr:rowOff>
    </xdr:from>
    <xdr:to>
      <xdr:col>2</xdr:col>
      <xdr:colOff>857250</xdr:colOff>
      <xdr:row>5</xdr:row>
      <xdr:rowOff>400050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034FB3E-9139-4A46-85B3-4B9C231D2A62}"/>
            </a:ext>
          </a:extLst>
        </xdr:cNvPr>
        <xdr:cNvSpPr/>
      </xdr:nvSpPr>
      <xdr:spPr>
        <a:xfrm>
          <a:off x="0" y="1358901"/>
          <a:ext cx="3016250" cy="20319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200" b="1">
              <a:solidFill>
                <a:sysClr val="windowText" lastClr="000000"/>
              </a:solidFill>
              <a:latin typeface="Palatino Linotype" panose="02040502050505030304" pitchFamily="18" charset="0"/>
            </a:rPr>
            <a:t>Plan de Trabajo</a:t>
          </a:r>
        </a:p>
      </xdr:txBody>
    </xdr:sp>
    <xdr:clientData/>
  </xdr:twoCellAnchor>
  <xdr:twoCellAnchor editAs="oneCell">
    <xdr:from>
      <xdr:col>0</xdr:col>
      <xdr:colOff>0</xdr:colOff>
      <xdr:row>6</xdr:row>
      <xdr:rowOff>91018</xdr:rowOff>
    </xdr:from>
    <xdr:to>
      <xdr:col>2</xdr:col>
      <xdr:colOff>809625</xdr:colOff>
      <xdr:row>6</xdr:row>
      <xdr:rowOff>381000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1ACF1360-A3FA-4491-9B90-DF62E55955DA}"/>
            </a:ext>
          </a:extLst>
        </xdr:cNvPr>
        <xdr:cNvSpPr/>
      </xdr:nvSpPr>
      <xdr:spPr>
        <a:xfrm>
          <a:off x="0" y="1678518"/>
          <a:ext cx="2971800" cy="289982"/>
        </a:xfrm>
        <a:prstGeom prst="round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1400" b="1">
              <a:solidFill>
                <a:sysClr val="windowText" lastClr="000000"/>
              </a:solidFill>
              <a:latin typeface="Palatino Linotype" panose="02040502050505030304" pitchFamily="18" charset="0"/>
            </a:rPr>
            <a:t>Acta de Cierre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111125</xdr:colOff>
      <xdr:row>137</xdr:row>
      <xdr:rowOff>106588</xdr:rowOff>
    </xdr:from>
    <xdr:to>
      <xdr:col>12</xdr:col>
      <xdr:colOff>136525</xdr:colOff>
      <xdr:row>158</xdr:row>
      <xdr:rowOff>191199</xdr:rowOff>
    </xdr:to>
    <xdr:graphicFrame macro="">
      <xdr:nvGraphicFramePr>
        <xdr:cNvPr id="2" name="Gráfico 1">
          <a:extLst>
            <a:ext uri="{FF2B5EF4-FFF2-40B4-BE49-F238E27FC236}">
              <a16:creationId xmlns:a16="http://schemas.microsoft.com/office/drawing/2014/main" id="{82D33007-918F-467A-90A3-120587F25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460376</xdr:colOff>
      <xdr:row>1</xdr:row>
      <xdr:rowOff>1</xdr:rowOff>
    </xdr:from>
    <xdr:to>
      <xdr:col>4</xdr:col>
      <xdr:colOff>466656</xdr:colOff>
      <xdr:row>4</xdr:row>
      <xdr:rowOff>85726</xdr:rowOff>
    </xdr:to>
    <xdr:pic>
      <xdr:nvPicPr>
        <xdr:cNvPr id="3" name="Imagen 2">
          <a:extLst>
            <a:ext uri="{FF2B5EF4-FFF2-40B4-BE49-F238E27FC236}">
              <a16:creationId xmlns:a16="http://schemas.microsoft.com/office/drawing/2014/main" id="{BFB749B0-5C03-4EC7-BFE2-FAEB55218C39}"/>
            </a:ext>
          </a:extLst>
        </xdr:cNvPr>
        <xdr:cNvPicPr>
          <a:picLocks noChangeAspect="1"/>
        </xdr:cNvPicPr>
      </xdr:nvPicPr>
      <xdr:blipFill>
        <a:blip xmlns:r="http://schemas.openxmlformats.org/officeDocument/2006/relationships" r:embed="rId2"/>
        <a:stretch>
          <a:fillRect/>
        </a:stretch>
      </xdr:blipFill>
      <xdr:spPr>
        <a:xfrm>
          <a:off x="460376" y="234951"/>
          <a:ext cx="2673280" cy="784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633604</xdr:colOff>
      <xdr:row>130</xdr:row>
      <xdr:rowOff>201665</xdr:rowOff>
    </xdr:from>
    <xdr:to>
      <xdr:col>12</xdr:col>
      <xdr:colOff>633605</xdr:colOff>
      <xdr:row>150</xdr:row>
      <xdr:rowOff>132062</xdr:rowOff>
    </xdr:to>
    <xdr:graphicFrame macro="">
      <xdr:nvGraphicFramePr>
        <xdr:cNvPr id="2" name="Gráfico 1">
          <a:extLst>
            <a:ext uri="{FF2B5EF4-FFF2-40B4-BE49-F238E27FC236}">
              <a16:creationId xmlns:a16="http://schemas.microsoft.com/office/drawing/2014/main" id="{076D5F9C-931E-4F0B-94CF-061B4E972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282610</xdr:colOff>
      <xdr:row>0</xdr:row>
      <xdr:rowOff>99786</xdr:rowOff>
    </xdr:from>
    <xdr:to>
      <xdr:col>4</xdr:col>
      <xdr:colOff>288890</xdr:colOff>
      <xdr:row>0</xdr:row>
      <xdr:rowOff>883558</xdr:rowOff>
    </xdr:to>
    <xdr:pic>
      <xdr:nvPicPr>
        <xdr:cNvPr id="3" name="Imagen 2">
          <a:extLst>
            <a:ext uri="{FF2B5EF4-FFF2-40B4-BE49-F238E27FC236}">
              <a16:creationId xmlns:a16="http://schemas.microsoft.com/office/drawing/2014/main" id="{B809BCFB-B65B-4193-BD96-3B499F884202}"/>
            </a:ext>
          </a:extLst>
        </xdr:cNvPr>
        <xdr:cNvPicPr>
          <a:picLocks noChangeAspect="1"/>
        </xdr:cNvPicPr>
      </xdr:nvPicPr>
      <xdr:blipFill>
        <a:blip xmlns:r="http://schemas.openxmlformats.org/officeDocument/2006/relationships" r:embed="rId2"/>
        <a:stretch>
          <a:fillRect/>
        </a:stretch>
      </xdr:blipFill>
      <xdr:spPr>
        <a:xfrm>
          <a:off x="282610" y="99786"/>
          <a:ext cx="2673280" cy="7869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12</xdr:col>
      <xdr:colOff>609600</xdr:colOff>
      <xdr:row>8</xdr:row>
      <xdr:rowOff>10795</xdr:rowOff>
    </xdr:from>
    <xdr:to>
      <xdr:col>14</xdr:col>
      <xdr:colOff>616495</xdr:colOff>
      <xdr:row>10</xdr:row>
      <xdr:rowOff>8165</xdr:rowOff>
    </xdr:to>
    <xdr:sp macro="" textlink="">
      <xdr:nvSpPr>
        <xdr:cNvPr id="2" name="Rectángulo 1">
          <a:extLst>
            <a:ext uri="{FF2B5EF4-FFF2-40B4-BE49-F238E27FC236}">
              <a16:creationId xmlns:a16="http://schemas.microsoft.com/office/drawing/2014/main" id="{9E50F330-7CD8-4698-AA19-8C4FF78B9DEF}"/>
            </a:ext>
          </a:extLst>
        </xdr:cNvPr>
        <xdr:cNvSpPr>
          <a:spLocks noChangeAspect="1"/>
        </xdr:cNvSpPr>
      </xdr:nvSpPr>
      <xdr:spPr>
        <a:xfrm>
          <a:off x="11563350" y="3512820"/>
          <a:ext cx="1299120" cy="121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latin typeface="Palatino Linotype" panose="02040502050505030304" pitchFamily="18" charset="0"/>
            </a:rPr>
            <a:t>Clase</a:t>
          </a:r>
        </a:p>
        <a:p>
          <a:pPr algn="ctr"/>
          <a:r>
            <a:rPr lang="es-CO" sz="1600" b="1">
              <a:latin typeface="Palatino Linotype" panose="02040502050505030304" pitchFamily="18" charset="0"/>
            </a:rPr>
            <a:t>Mundial</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839036</xdr:colOff>
      <xdr:row>2</xdr:row>
      <xdr:rowOff>102854</xdr:rowOff>
    </xdr:from>
    <xdr:ext cx="1548129" cy="510285"/>
    <xdr:pic>
      <xdr:nvPicPr>
        <xdr:cNvPr id="2" name="Graphic 7">
          <a:extLst>
            <a:ext uri="{FF2B5EF4-FFF2-40B4-BE49-F238E27FC236}">
              <a16:creationId xmlns:a16="http://schemas.microsoft.com/office/drawing/2014/main" id="{FCD1788A-AD04-4123-9CBB-4A1BEBCE30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329643" y="374997"/>
          <a:ext cx="1548129" cy="510285"/>
        </a:xfrm>
        <a:prstGeom prst="rect">
          <a:avLst/>
        </a:prstGeom>
      </xdr:spPr>
    </xdr:pic>
    <xdr:clientData/>
  </xdr:oneCellAnchor>
  <xdr:oneCellAnchor>
    <xdr:from>
      <xdr:col>2</xdr:col>
      <xdr:colOff>771907</xdr:colOff>
      <xdr:row>2</xdr:row>
      <xdr:rowOff>173962</xdr:rowOff>
    </xdr:from>
    <xdr:ext cx="1961418" cy="413112"/>
    <xdr:pic>
      <xdr:nvPicPr>
        <xdr:cNvPr id="3" name="Picture 29">
          <a:extLst>
            <a:ext uri="{FF2B5EF4-FFF2-40B4-BE49-F238E27FC236}">
              <a16:creationId xmlns:a16="http://schemas.microsoft.com/office/drawing/2014/main" id="{649AEDD7-CA4E-4027-89BA-8A12CB376A02}"/>
            </a:ext>
          </a:extLst>
        </xdr:cNvPr>
        <xdr:cNvPicPr>
          <a:picLocks noChangeAspect="1"/>
        </xdr:cNvPicPr>
      </xdr:nvPicPr>
      <xdr:blipFill>
        <a:blip xmlns:r="http://schemas.openxmlformats.org/officeDocument/2006/relationships" r:embed="rId3"/>
        <a:stretch>
          <a:fillRect/>
        </a:stretch>
      </xdr:blipFill>
      <xdr:spPr>
        <a:xfrm>
          <a:off x="4731586" y="446105"/>
          <a:ext cx="1961418" cy="413112"/>
        </a:xfrm>
        <a:prstGeom prst="rect">
          <a:avLst/>
        </a:prstGeom>
      </xdr:spPr>
    </xdr:pic>
    <xdr:clientData/>
  </xdr:oneCellAnchor>
  <xdr:oneCellAnchor>
    <xdr:from>
      <xdr:col>1</xdr:col>
      <xdr:colOff>2166490</xdr:colOff>
      <xdr:row>2</xdr:row>
      <xdr:rowOff>109312</xdr:rowOff>
    </xdr:from>
    <xdr:ext cx="1544395" cy="513212"/>
    <xdr:pic>
      <xdr:nvPicPr>
        <xdr:cNvPr id="4" name="Picture 7">
          <a:extLst>
            <a:ext uri="{FF2B5EF4-FFF2-40B4-BE49-F238E27FC236}">
              <a16:creationId xmlns:a16="http://schemas.microsoft.com/office/drawing/2014/main" id="{DD9E48D4-6B6D-435E-96E1-17E915EBA774}"/>
            </a:ext>
          </a:extLst>
        </xdr:cNvPr>
        <xdr:cNvPicPr>
          <a:picLocks noChangeAspect="1"/>
        </xdr:cNvPicPr>
      </xdr:nvPicPr>
      <xdr:blipFill>
        <a:blip xmlns:r="http://schemas.openxmlformats.org/officeDocument/2006/relationships" r:embed="rId4"/>
        <a:stretch>
          <a:fillRect/>
        </a:stretch>
      </xdr:blipFill>
      <xdr:spPr>
        <a:xfrm>
          <a:off x="2737990" y="381455"/>
          <a:ext cx="1544395" cy="513212"/>
        </a:xfrm>
        <a:prstGeom prst="rect">
          <a:avLst/>
        </a:prstGeom>
      </xdr:spPr>
    </xdr:pic>
    <xdr:clientData/>
  </xdr:oneCellAnchor>
  <xdr:twoCellAnchor>
    <xdr:from>
      <xdr:col>7</xdr:col>
      <xdr:colOff>279400</xdr:colOff>
      <xdr:row>41</xdr:row>
      <xdr:rowOff>457200</xdr:rowOff>
    </xdr:from>
    <xdr:to>
      <xdr:col>13</xdr:col>
      <xdr:colOff>304800</xdr:colOff>
      <xdr:row>50</xdr:row>
      <xdr:rowOff>292100</xdr:rowOff>
    </xdr:to>
    <xdr:graphicFrame macro="">
      <xdr:nvGraphicFramePr>
        <xdr:cNvPr id="6" name="Gráfico 5">
          <a:extLst>
            <a:ext uri="{FF2B5EF4-FFF2-40B4-BE49-F238E27FC236}">
              <a16:creationId xmlns:a16="http://schemas.microsoft.com/office/drawing/2014/main" id="{5CF017A8-E3B1-48E9-852B-5D9394387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5</xdr:col>
      <xdr:colOff>555553</xdr:colOff>
      <xdr:row>2</xdr:row>
      <xdr:rowOff>84711</xdr:rowOff>
    </xdr:from>
    <xdr:ext cx="1548129" cy="510285"/>
    <xdr:pic>
      <xdr:nvPicPr>
        <xdr:cNvPr id="2" name="Graphic 7">
          <a:extLst>
            <a:ext uri="{FF2B5EF4-FFF2-40B4-BE49-F238E27FC236}">
              <a16:creationId xmlns:a16="http://schemas.microsoft.com/office/drawing/2014/main" id="{2E1958B6-33CD-498D-9D40-6057BBAC7C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832403" y="275211"/>
          <a:ext cx="1548129" cy="510285"/>
        </a:xfrm>
        <a:prstGeom prst="rect">
          <a:avLst/>
        </a:prstGeom>
      </xdr:spPr>
    </xdr:pic>
    <xdr:clientData/>
  </xdr:oneCellAnchor>
  <xdr:oneCellAnchor>
    <xdr:from>
      <xdr:col>2</xdr:col>
      <xdr:colOff>420389</xdr:colOff>
      <xdr:row>2</xdr:row>
      <xdr:rowOff>94588</xdr:rowOff>
    </xdr:from>
    <xdr:ext cx="1961418" cy="413112"/>
    <xdr:pic>
      <xdr:nvPicPr>
        <xdr:cNvPr id="3" name="Picture 29">
          <a:extLst>
            <a:ext uri="{FF2B5EF4-FFF2-40B4-BE49-F238E27FC236}">
              <a16:creationId xmlns:a16="http://schemas.microsoft.com/office/drawing/2014/main" id="{95A22D46-57CB-4104-96AA-805D6C0BE259}"/>
            </a:ext>
          </a:extLst>
        </xdr:cNvPr>
        <xdr:cNvPicPr>
          <a:picLocks noChangeAspect="1"/>
        </xdr:cNvPicPr>
      </xdr:nvPicPr>
      <xdr:blipFill>
        <a:blip xmlns:r="http://schemas.openxmlformats.org/officeDocument/2006/relationships" r:embed="rId3"/>
        <a:stretch>
          <a:fillRect/>
        </a:stretch>
      </xdr:blipFill>
      <xdr:spPr>
        <a:xfrm>
          <a:off x="3525539" y="285088"/>
          <a:ext cx="1961418" cy="413112"/>
        </a:xfrm>
        <a:prstGeom prst="rect">
          <a:avLst/>
        </a:prstGeom>
      </xdr:spPr>
    </xdr:pic>
    <xdr:clientData/>
  </xdr:oneCellAnchor>
  <xdr:oneCellAnchor>
    <xdr:from>
      <xdr:col>1</xdr:col>
      <xdr:colOff>1159563</xdr:colOff>
      <xdr:row>1</xdr:row>
      <xdr:rowOff>177347</xdr:rowOff>
    </xdr:from>
    <xdr:ext cx="1544395" cy="513212"/>
    <xdr:pic>
      <xdr:nvPicPr>
        <xdr:cNvPr id="4" name="Picture 7">
          <a:extLst>
            <a:ext uri="{FF2B5EF4-FFF2-40B4-BE49-F238E27FC236}">
              <a16:creationId xmlns:a16="http://schemas.microsoft.com/office/drawing/2014/main" id="{37840AAF-F73F-42D8-A506-072FF506D1EA}"/>
            </a:ext>
          </a:extLst>
        </xdr:cNvPr>
        <xdr:cNvPicPr>
          <a:picLocks noChangeAspect="1"/>
        </xdr:cNvPicPr>
      </xdr:nvPicPr>
      <xdr:blipFill>
        <a:blip xmlns:r="http://schemas.openxmlformats.org/officeDocument/2006/relationships" r:embed="rId4"/>
        <a:stretch>
          <a:fillRect/>
        </a:stretch>
      </xdr:blipFill>
      <xdr:spPr>
        <a:xfrm>
          <a:off x="1731063" y="177347"/>
          <a:ext cx="1544395" cy="51321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7</xdr:col>
      <xdr:colOff>1009125</xdr:colOff>
      <xdr:row>2</xdr:row>
      <xdr:rowOff>144583</xdr:rowOff>
    </xdr:from>
    <xdr:ext cx="1548129" cy="510285"/>
    <xdr:pic>
      <xdr:nvPicPr>
        <xdr:cNvPr id="2" name="Graphic 7">
          <a:extLst>
            <a:ext uri="{FF2B5EF4-FFF2-40B4-BE49-F238E27FC236}">
              <a16:creationId xmlns:a16="http://schemas.microsoft.com/office/drawing/2014/main" id="{AD6ACC7F-435A-48F8-A8D1-37947F23DF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759425" y="1312983"/>
          <a:ext cx="1548129" cy="510285"/>
        </a:xfrm>
        <a:prstGeom prst="rect">
          <a:avLst/>
        </a:prstGeom>
      </xdr:spPr>
    </xdr:pic>
    <xdr:clientData/>
  </xdr:oneCellAnchor>
  <xdr:oneCellAnchor>
    <xdr:from>
      <xdr:col>4</xdr:col>
      <xdr:colOff>878497</xdr:colOff>
      <xdr:row>2</xdr:row>
      <xdr:rowOff>137676</xdr:rowOff>
    </xdr:from>
    <xdr:ext cx="1961418" cy="413112"/>
    <xdr:pic>
      <xdr:nvPicPr>
        <xdr:cNvPr id="3" name="Picture 29">
          <a:extLst>
            <a:ext uri="{FF2B5EF4-FFF2-40B4-BE49-F238E27FC236}">
              <a16:creationId xmlns:a16="http://schemas.microsoft.com/office/drawing/2014/main" id="{843F26D1-403E-4B14-888E-8012656C9D81}"/>
            </a:ext>
          </a:extLst>
        </xdr:cNvPr>
        <xdr:cNvPicPr>
          <a:picLocks noChangeAspect="1"/>
        </xdr:cNvPicPr>
      </xdr:nvPicPr>
      <xdr:blipFill>
        <a:blip xmlns:r="http://schemas.openxmlformats.org/officeDocument/2006/relationships" r:embed="rId3"/>
        <a:stretch>
          <a:fillRect/>
        </a:stretch>
      </xdr:blipFill>
      <xdr:spPr>
        <a:xfrm>
          <a:off x="6539068" y="518676"/>
          <a:ext cx="1961418" cy="413112"/>
        </a:xfrm>
        <a:prstGeom prst="rect">
          <a:avLst/>
        </a:prstGeom>
      </xdr:spPr>
    </xdr:pic>
    <xdr:clientData/>
  </xdr:oneCellAnchor>
  <xdr:oneCellAnchor>
    <xdr:from>
      <xdr:col>2</xdr:col>
      <xdr:colOff>2920781</xdr:colOff>
      <xdr:row>2</xdr:row>
      <xdr:rowOff>77561</xdr:rowOff>
    </xdr:from>
    <xdr:ext cx="1544395" cy="513212"/>
    <xdr:pic>
      <xdr:nvPicPr>
        <xdr:cNvPr id="4" name="Picture 7">
          <a:extLst>
            <a:ext uri="{FF2B5EF4-FFF2-40B4-BE49-F238E27FC236}">
              <a16:creationId xmlns:a16="http://schemas.microsoft.com/office/drawing/2014/main" id="{1E741412-8F24-48EA-B987-5D6AF0798EDF}"/>
            </a:ext>
          </a:extLst>
        </xdr:cNvPr>
        <xdr:cNvPicPr>
          <a:picLocks noChangeAspect="1"/>
        </xdr:cNvPicPr>
      </xdr:nvPicPr>
      <xdr:blipFill>
        <a:blip xmlns:r="http://schemas.openxmlformats.org/officeDocument/2006/relationships" r:embed="rId4"/>
        <a:stretch>
          <a:fillRect/>
        </a:stretch>
      </xdr:blipFill>
      <xdr:spPr>
        <a:xfrm>
          <a:off x="3927710" y="458561"/>
          <a:ext cx="1544395" cy="51321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5</xdr:col>
      <xdr:colOff>362419</xdr:colOff>
      <xdr:row>2</xdr:row>
      <xdr:rowOff>72127</xdr:rowOff>
    </xdr:from>
    <xdr:ext cx="1548129" cy="510285"/>
    <xdr:pic>
      <xdr:nvPicPr>
        <xdr:cNvPr id="2" name="Graphic 7">
          <a:extLst>
            <a:ext uri="{FF2B5EF4-FFF2-40B4-BE49-F238E27FC236}">
              <a16:creationId xmlns:a16="http://schemas.microsoft.com/office/drawing/2014/main" id="{94D42C25-A4D9-44E1-AFC4-DD7E68C945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519776" y="1233270"/>
          <a:ext cx="1548129" cy="510285"/>
        </a:xfrm>
        <a:prstGeom prst="rect">
          <a:avLst/>
        </a:prstGeom>
      </xdr:spPr>
    </xdr:pic>
    <xdr:clientData/>
  </xdr:oneCellAnchor>
  <xdr:oneCellAnchor>
    <xdr:from>
      <xdr:col>2</xdr:col>
      <xdr:colOff>347452</xdr:colOff>
      <xdr:row>2</xdr:row>
      <xdr:rowOff>159769</xdr:rowOff>
    </xdr:from>
    <xdr:ext cx="1961418" cy="413112"/>
    <xdr:pic>
      <xdr:nvPicPr>
        <xdr:cNvPr id="3" name="Picture 29">
          <a:extLst>
            <a:ext uri="{FF2B5EF4-FFF2-40B4-BE49-F238E27FC236}">
              <a16:creationId xmlns:a16="http://schemas.microsoft.com/office/drawing/2014/main" id="{A5028F3A-056A-4A11-99C9-E765DF026F66}"/>
            </a:ext>
          </a:extLst>
        </xdr:cNvPr>
        <xdr:cNvPicPr>
          <a:picLocks noChangeAspect="1"/>
        </xdr:cNvPicPr>
      </xdr:nvPicPr>
      <xdr:blipFill>
        <a:blip xmlns:r="http://schemas.openxmlformats.org/officeDocument/2006/relationships" r:embed="rId3"/>
        <a:stretch>
          <a:fillRect/>
        </a:stretch>
      </xdr:blipFill>
      <xdr:spPr>
        <a:xfrm>
          <a:off x="1776202" y="426469"/>
          <a:ext cx="1961418" cy="413112"/>
        </a:xfrm>
        <a:prstGeom prst="rect">
          <a:avLst/>
        </a:prstGeom>
      </xdr:spPr>
    </xdr:pic>
    <xdr:clientData/>
  </xdr:oneCellAnchor>
  <xdr:oneCellAnchor>
    <xdr:from>
      <xdr:col>3</xdr:col>
      <xdr:colOff>512872</xdr:colOff>
      <xdr:row>2</xdr:row>
      <xdr:rowOff>90876</xdr:rowOff>
    </xdr:from>
    <xdr:ext cx="1544395" cy="513212"/>
    <xdr:pic>
      <xdr:nvPicPr>
        <xdr:cNvPr id="4" name="Picture 7">
          <a:extLst>
            <a:ext uri="{FF2B5EF4-FFF2-40B4-BE49-F238E27FC236}">
              <a16:creationId xmlns:a16="http://schemas.microsoft.com/office/drawing/2014/main" id="{07B01D9A-F7F3-43DD-BFC7-90A8C1C9CD6F}"/>
            </a:ext>
          </a:extLst>
        </xdr:cNvPr>
        <xdr:cNvPicPr>
          <a:picLocks noChangeAspect="1"/>
        </xdr:cNvPicPr>
      </xdr:nvPicPr>
      <xdr:blipFill>
        <a:blip xmlns:r="http://schemas.openxmlformats.org/officeDocument/2006/relationships" r:embed="rId4"/>
        <a:stretch>
          <a:fillRect/>
        </a:stretch>
      </xdr:blipFill>
      <xdr:spPr>
        <a:xfrm>
          <a:off x="4903443" y="1252019"/>
          <a:ext cx="1544395" cy="51321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5</xdr:col>
      <xdr:colOff>362419</xdr:colOff>
      <xdr:row>2</xdr:row>
      <xdr:rowOff>72127</xdr:rowOff>
    </xdr:from>
    <xdr:ext cx="1548129" cy="510285"/>
    <xdr:pic>
      <xdr:nvPicPr>
        <xdr:cNvPr id="2" name="Graphic 7">
          <a:extLst>
            <a:ext uri="{FF2B5EF4-FFF2-40B4-BE49-F238E27FC236}">
              <a16:creationId xmlns:a16="http://schemas.microsoft.com/office/drawing/2014/main" id="{BBB56EAB-C771-44EE-80FF-C49C07B366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06219" y="1234177"/>
          <a:ext cx="1548129" cy="510285"/>
        </a:xfrm>
        <a:prstGeom prst="rect">
          <a:avLst/>
        </a:prstGeom>
      </xdr:spPr>
    </xdr:pic>
    <xdr:clientData/>
  </xdr:oneCellAnchor>
  <xdr:oneCellAnchor>
    <xdr:from>
      <xdr:col>2</xdr:col>
      <xdr:colOff>347452</xdr:colOff>
      <xdr:row>2</xdr:row>
      <xdr:rowOff>159769</xdr:rowOff>
    </xdr:from>
    <xdr:ext cx="1961418" cy="413112"/>
    <xdr:pic>
      <xdr:nvPicPr>
        <xdr:cNvPr id="3" name="Picture 29">
          <a:extLst>
            <a:ext uri="{FF2B5EF4-FFF2-40B4-BE49-F238E27FC236}">
              <a16:creationId xmlns:a16="http://schemas.microsoft.com/office/drawing/2014/main" id="{6F1DE0AF-1045-4E38-BBEB-1D9A9A6EF4EB}"/>
            </a:ext>
          </a:extLst>
        </xdr:cNvPr>
        <xdr:cNvPicPr>
          <a:picLocks noChangeAspect="1"/>
        </xdr:cNvPicPr>
      </xdr:nvPicPr>
      <xdr:blipFill>
        <a:blip xmlns:r="http://schemas.openxmlformats.org/officeDocument/2006/relationships" r:embed="rId3"/>
        <a:stretch>
          <a:fillRect/>
        </a:stretch>
      </xdr:blipFill>
      <xdr:spPr>
        <a:xfrm>
          <a:off x="1839702" y="1321819"/>
          <a:ext cx="1961418" cy="413112"/>
        </a:xfrm>
        <a:prstGeom prst="rect">
          <a:avLst/>
        </a:prstGeom>
      </xdr:spPr>
    </xdr:pic>
    <xdr:clientData/>
  </xdr:oneCellAnchor>
  <xdr:oneCellAnchor>
    <xdr:from>
      <xdr:col>3</xdr:col>
      <xdr:colOff>512872</xdr:colOff>
      <xdr:row>2</xdr:row>
      <xdr:rowOff>90876</xdr:rowOff>
    </xdr:from>
    <xdr:ext cx="1544395" cy="513212"/>
    <xdr:pic>
      <xdr:nvPicPr>
        <xdr:cNvPr id="4" name="Picture 7">
          <a:extLst>
            <a:ext uri="{FF2B5EF4-FFF2-40B4-BE49-F238E27FC236}">
              <a16:creationId xmlns:a16="http://schemas.microsoft.com/office/drawing/2014/main" id="{0C84DF48-A131-471F-8E29-924D9B4DCA7D}"/>
            </a:ext>
          </a:extLst>
        </xdr:cNvPr>
        <xdr:cNvPicPr>
          <a:picLocks noChangeAspect="1"/>
        </xdr:cNvPicPr>
      </xdr:nvPicPr>
      <xdr:blipFill>
        <a:blip xmlns:r="http://schemas.openxmlformats.org/officeDocument/2006/relationships" r:embed="rId4"/>
        <a:stretch>
          <a:fillRect/>
        </a:stretch>
      </xdr:blipFill>
      <xdr:spPr>
        <a:xfrm>
          <a:off x="4900722" y="1252926"/>
          <a:ext cx="1544395" cy="51321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iducoldexsa.sharepoint.com/Downloads/Formulario%20v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ducoldexsa.sharepoint.com/Users/Monic/Downloads/V5%20Formatos%20Seguimiento%20Empresas%20Ene-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arátula"/>
      <sheetName val="Panel"/>
      <sheetName val="Radar Actual"/>
      <sheetName val="Radar Futuro"/>
      <sheetName val="Matriz Des vs MP"/>
      <sheetName val="Situación Actual"/>
      <sheetName val="Radar Diag."/>
      <sheetName val="Nivel Metas"/>
      <sheetName val="Radar Metas"/>
      <sheetName val="Información General"/>
      <sheetName val="1. Liderazgo"/>
      <sheetName val="2. Enfoque al Cliente"/>
      <sheetName val="3. Gestión del Capital Humano"/>
      <sheetName val="4.1. Procesos "/>
      <sheetName val="4.2. Mantenimiento"/>
      <sheetName val="4.3. Gestión de Inventarios"/>
      <sheetName val="4.4. Layout y manipulación"/>
      <sheetName val="4.5. Setups- puesta a punto"/>
      <sheetName val="4.6. Programación y control"/>
      <sheetName val="5. Desempeño Financiero"/>
      <sheetName val="6.1. Capacidad de Inteligencia"/>
      <sheetName val="6.2. Desarrollo Nuevos Producto"/>
      <sheetName val="6.3 Gestión de Proyectos"/>
      <sheetName val="7.1. Gestión de la Calidad"/>
      <sheetName val="7.2. Producción más limpia"/>
      <sheetName val="8. Eficiencia Energética"/>
      <sheetName val="9. Modelo de madurez digital"/>
      <sheetName val="10. Gestión Logística"/>
      <sheetName val="11. Proveedores"/>
      <sheetName val="12. Tecnologías de Gestión"/>
      <sheetName val="Tecnologías Limpias"/>
      <sheetName val="Liderazgo"/>
      <sheetName val="11. Información"/>
      <sheetName val="12. Diálogo"/>
      <sheetName val="Formulario v2.1"/>
      <sheetName val="Formulario%20v2.1.xlsx"/>
      <sheetName val="[Formulario v2.1.xlsx]__fiduc_2"/>
      <sheetName val="Indicadores"/>
      <sheetName val="Formulario v2.1.xlsx"/>
      <sheetName val="[Formulario v2.1.xlsx]__fiduc_4"/>
      <sheetName val="[Formulario v2.1.xlsx]__fiduc_3"/>
      <sheetName val="[Formulario v2.1.xlsx]__fiduc_6"/>
      <sheetName val="[Formulario v2.1.xlsx]__fiduc_5"/>
      <sheetName val="[Formulario v2.1.xlsx]__fiduc_7"/>
      <sheetName val="[Formulario v2.1.xlsx]__fidu_11"/>
      <sheetName val="[Formulario v2.1.xlsx]__fiduc_8"/>
      <sheetName val="[Formulario v2.1.xlsx]__fiduc_9"/>
      <sheetName val="Hoja1"/>
      <sheetName val="[Formulario v2.1.xlsx]__fidu_10"/>
      <sheetName val="[Formulario v2.1.xlsx]__fidu_18"/>
      <sheetName val="[Formulario v2.1.xlsx]__fidu_12"/>
      <sheetName val="[Formulario v2.1.xlsx]__fidu_13"/>
      <sheetName val="[Formulario v2.1.xlsx]__fidu_14"/>
      <sheetName val="[Formulario v2.1.xlsx]__fidu_15"/>
      <sheetName val="[Formulario v2.1.xlsx]__fidu_16"/>
      <sheetName val="[Formulario v2.1.xlsx]__fidu_17"/>
      <sheetName val="[Formulario v2.1.xlsx]__fidu_23"/>
      <sheetName val="[Formulario v2.1.xlsx]__fidu_19"/>
      <sheetName val="[Formulario v2.1.xlsx]__fidu_20"/>
      <sheetName val="[Formulario v2.1.xlsx]__fidu_21"/>
      <sheetName val="[Formulario v2.1.xlsx]__fidu_22"/>
      <sheetName val="[Formulario v2.1.xlsx]__fidu_32"/>
      <sheetName val="[Formulario v2.1.xlsx]__fidu_31"/>
      <sheetName val="[Formulario v2.1.xlsx]__fidu_25"/>
      <sheetName val="[Formulario v2.1.xlsx]__fidu_24"/>
      <sheetName val="[Formulario v2.1.xlsx]__fidu_26"/>
      <sheetName val="[Formulario v2.1.xlsx]__fidu_27"/>
      <sheetName val="[Formulario v2.1.xlsx]__fidu_28"/>
      <sheetName val="[Formulario v2.1.xlsx]__fidu_29"/>
      <sheetName val="[Formulario v2.1.xlsx]__fidu_30"/>
      <sheetName val="[Formulario v2.1.xlsx]__fidu_33"/>
      <sheetName val="[Formulario v2.1.xlsx]__fidu_36"/>
      <sheetName val="[Formulario v2.1.xlsx]__fidu_34"/>
      <sheetName val="[Formulario v2.1.xlsx]__fidu_35"/>
      <sheetName val="[Formulario v2.1.xlsx]__fidu_38"/>
      <sheetName val="[Formulario v2.1.xlsx]__fidu_37"/>
      <sheetName val="[Formulario v2.1.xlsx]__fidu_39"/>
      <sheetName val="[Formulario v2.1.xlsx]__fidu_41"/>
      <sheetName val="[Formulario v2.1.xlsx]__fidu_40"/>
      <sheetName val="[Formulario v2.1.xlsx]__fidu_47"/>
      <sheetName val="[Formulario v2.1.xlsx]__fidu_42"/>
      <sheetName val="[Formulario v2.1.xlsx]__fidu_43"/>
      <sheetName val="[Formulario v2.1.xlsx]__fidu_44"/>
      <sheetName val="[Formulario v2.1.xlsx]__fidu_45"/>
      <sheetName val="[Formulario v2.1.xlsx]__fidu_46"/>
      <sheetName val="[Formulario v2.1.xlsx]__fidu_72"/>
      <sheetName val="[Formulario v2.1.xlsx]__fidu_70"/>
      <sheetName val="[Formulario v2.1.xlsx]__fidu_50"/>
      <sheetName val="[Formulario v2.1.xlsx]__fidu_48"/>
      <sheetName val="[Formulario v2.1.xlsx]__fidu_49"/>
      <sheetName val="[Formulario v2.1.xlsx]__fidu_51"/>
      <sheetName val="[Formulario v2.1.xlsx]__fidu_52"/>
      <sheetName val="[Formulario v2.1.xlsx]__fidu_53"/>
      <sheetName val="[Formulario v2.1.xlsx]__fidu_54"/>
      <sheetName val="[Formulario v2.1.xlsx]__fidu_55"/>
      <sheetName val="[Formulario v2.1.xlsx]__fidu_59"/>
      <sheetName val="[Formulario v2.1.xlsx]__fidu_56"/>
      <sheetName val="[Formulario v2.1.xlsx]__fidu_57"/>
      <sheetName val="[Formulario v2.1.xlsx]__fidu_58"/>
      <sheetName val="[Formulario v2.1.xlsx]__fidu_62"/>
      <sheetName val="[Formulario v2.1.xlsx]__fidu_60"/>
      <sheetName val="[Formulario v2.1.xlsx]__fidu_61"/>
      <sheetName val="[Formulario v2.1.xlsx]__fidu_65"/>
      <sheetName val="//camaradecomerciodecali-my.sha"/>
      <sheetName val="[Formulario v2.1.xlsx]__fidu_63"/>
      <sheetName val="[Formulario v2.1.xlsx]__fidu_64"/>
      <sheetName val="[Formulario v2.1.xlsx]__fidu_68"/>
      <sheetName val="[Formulario v2.1.xlsx]__fidu_66"/>
      <sheetName val="[Formulario v2.1.xlsx]__fidu_67"/>
      <sheetName val="[Formulario v2.1.xlsx]__fidu_69"/>
      <sheetName val="[Formulario v2.1.xlsx]__fidu_71"/>
      <sheetName val="[Formulario v2.1.xlsx]__fidu_74"/>
      <sheetName val="[Formulario v2.1.xlsx]__fidu_73"/>
      <sheetName val="[Formulario v2.1.xlsx]__fidu_76"/>
      <sheetName val="[Formulario v2.1.xlsx]__fidu_75"/>
      <sheetName val="[Formulario v2.1.xlsx]__fidu_77"/>
      <sheetName val="[Formulario v2.1.xlsx]__fidu_80"/>
      <sheetName val="[Formulario v2.1.xlsx]__fidu_78"/>
      <sheetName val="[Formulario v2.1.xlsx]__fidu_79"/>
      <sheetName val="[Formulario v2.1.xlsx]__fidu_84"/>
      <sheetName val="[Formulario v2.1.xlsx]__fidu_81"/>
      <sheetName val="[Formulario v2.1.xlsx]__fidu_82"/>
      <sheetName val="[Formulario v2.1.xlsx]__fidu_83"/>
      <sheetName val="[Formulario v2.1.xlsx]__fidu_85"/>
      <sheetName val="[Formulario v2.1.xlsx]__fidu_92"/>
      <sheetName val="[Formulario v2.1.xlsx]__fidu_86"/>
      <sheetName val="[Formulario v2.1.xlsx]__fidu_87"/>
      <sheetName val="[Formulario v2.1.xlsx]__fidu_88"/>
      <sheetName val="[Formulario v2.1.xlsx]__fidu_89"/>
      <sheetName val="[Formulario v2.1.xlsx]__fidu_90"/>
      <sheetName val="[Formulario v2.1.xlsx]__fidu_91"/>
      <sheetName val="[Formulario v2.1.xlsx]//fiducol"/>
      <sheetName val="[Formulario v2.1.xlsx]__fid_102"/>
      <sheetName val="[Formulario v2.1.xlsx]__fidu_93"/>
      <sheetName val="[Formulario v2.1.xlsx]__fidu_94"/>
      <sheetName val="[Formulario v2.1.xlsx]__fidu_95"/>
      <sheetName val="[Formulario v2.1.xlsx]__fidu_96"/>
      <sheetName val="[Formulario v2.1.xlsx]__fidu_97"/>
      <sheetName val="[Formulario v2.1.xlsx]__fidu_98"/>
      <sheetName val="[Formulario v2.1.xlsx]__fidu_99"/>
      <sheetName val="[Formulario v2.1.xlsx]__fid_100"/>
      <sheetName val="[Formulario v2.1.xlsx]__fid_101"/>
      <sheetName val="[Formulario v2.1.xlsx]__fid_104"/>
      <sheetName val="[Formulario v2.1.xlsx]__fid_103"/>
      <sheetName val="[Formulario v2.1.xlsx]__fid_105"/>
      <sheetName val="[Formulario v2.1.xlsx]__fid_108"/>
      <sheetName val="[Formulario v2.1.xlsx]__fid_106"/>
      <sheetName val="[Formulario v2.1.xlsx]__fid_107"/>
      <sheetName val="[Formulario v2.1.xlsx]__fid_109"/>
      <sheetName val="Situación Futura"/>
      <sheetName val="[Formulario v2.1.xlsx]__fid_110"/>
      <sheetName val="[Formulario v2.1.xlsx]__fid_111"/>
      <sheetName val="[Formulario v2.1.xlsx]__fid_112"/>
      <sheetName val="[Formulario v2.1.xlsx]__fid_113"/>
      <sheetName val="[Formulario v2.1.xlsx]__fid_114"/>
      <sheetName val="[Formulario v2.1.xlsx]__fid_115"/>
      <sheetName val="[Formulario v2.1.xlsx]__fid_120"/>
      <sheetName val="[Formulario v2.1.xlsx]__fid_116"/>
      <sheetName val="[Formulario v2.1.xlsx]__fid_117"/>
      <sheetName val="[Formulario v2.1.xlsx]__fid_118"/>
      <sheetName val="[Formulario v2.1.xlsx]__fid_119"/>
      <sheetName val="[Formulario v2.1.xlsx]__fid_121"/>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Listado Empresas"/>
      <sheetName val="1. V.Inicial-Rdos DX (Gestor)"/>
      <sheetName val="2. Selec Ext (Gestor)"/>
      <sheetName val="2.1 COTIZACIÓN (Ext)"/>
      <sheetName val="3. PLAN DE ACCIÓN (Ext)"/>
      <sheetName val="4. SEGUIMIENTO (Ext)"/>
      <sheetName val="5. INFORME FINAL (Ext)"/>
      <sheetName val="Indicadores"/>
    </sheetNames>
    <sheetDataSet>
      <sheetData sheetId="0"/>
      <sheetData sheetId="1"/>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Andres Camilo Rojas Pardo" id="{AB6F174B-8AFE-4E8B-8EA5-D894F68AB3B9}" userId="S::andres.rojas@colombiaproductiva.com::15e80981-a91a-465f-b947-d2b56b98fd3b" providerId="AD"/>
  <person displayName="Karen Andrely Mendez Herrera" id="{0A8B6E66-BAA6-4831-977B-BBFD3638B036}" userId="S::karen.mendez@colombiaproductiva.com::c03846d2-2c25-428e-b15a-666325b9e26a" providerId="AD"/>
  <person displayName="Santiago Jose Plata Muñoz" id="{FF83A2F8-51B5-4681-9009-D031222B2054}" userId="S::santiago.plata@colombiaproductiva.com::648d7ebe-0151-4d7e-b0fb-1bb01988699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D480838-B8A1-49D7-8A65-7D58BBA77FD5}" name="Indicadores" displayName="Indicadores" ref="C1:Q1700" totalsRowShown="0" headerRowDxfId="16" dataDxfId="15">
  <autoFilter ref="C1:Q1700" xr:uid="{385645D0-AA11-41AA-AA81-A23669695B7F}">
    <filterColumn colId="0">
      <filters>
        <filter val="C"/>
      </filters>
    </filterColumn>
  </autoFilter>
  <tableColumns count="15">
    <tableColumn id="1" xr3:uid="{389E2103-122A-452E-B620-10B1068AEA8A}" name="Grupo" dataDxfId="14"/>
    <tableColumn id="2" xr3:uid="{D36A994F-7190-4390-85CA-86509E32C3A4}" name="Sector" dataDxfId="13"/>
    <tableColumn id="3" xr3:uid="{AE15C2BE-BC41-4368-8CB9-74D21DDFAB74}" name="Año" dataDxfId="12"/>
    <tableColumn id="4" xr3:uid="{5A190084-1C76-4A68-9943-06E4FC479E5A}" name="CIIU" dataDxfId="11"/>
    <tableColumn id="15" xr3:uid="{5805C260-EAAB-4ED5-A0E7-EA8B16E9B8BB}" name="DescriptivaCIIU" dataDxfId="10"/>
    <tableColumn id="13" xr3:uid="{A80916B2-F6EF-4CD3-8D97-367FE1666F8F}" name="CIIURev4.0" dataDxfId="9"/>
    <tableColumn id="14" xr3:uid="{3FD02EDD-D2B3-4ED3-818E-213E17065878}" name="Descriptiva CIIURev4.0" dataDxfId="8"/>
    <tableColumn id="5" xr3:uid="{5F455D0F-94D8-46CC-902D-A9E37BFEA6FB}" name="UAI" dataDxfId="7"/>
    <tableColumn id="6" xr3:uid="{97103B6D-7206-4D3C-9DCE-0143F03E62BF}" name="EBITDA" dataDxfId="6"/>
    <tableColumn id="8" xr3:uid="{50F443AA-2800-40A4-B953-5136E158FDE9}" name="Activos totales" dataDxfId="5" dataCellStyle="Porcentaje"/>
    <tableColumn id="9" xr3:uid="{894B4150-8B2D-4E9D-9FB6-FD6575F99D53}" name="Ventas" dataDxfId="4"/>
    <tableColumn id="7" xr3:uid="{8B8580AF-5228-4D84-B917-948AD9D6F1FC}" name="%Productividad de los activos" dataDxfId="3" dataCellStyle="Porcentaje">
      <calculatedColumnFormula>Indicadores[[#This Row],[Ventas]]/Indicadores[[#This Row],[Activos totales]]</calculatedColumnFormula>
    </tableColumn>
    <tableColumn id="10" xr3:uid="{9C0F04FB-EA80-4734-8710-CC40163F8491}" name="%ebitda" dataDxfId="2">
      <calculatedColumnFormula>IF(Indicadores[[#This Row],[Ventas]]=0,0,Indicadores[[#This Row],[EBITDA]]/Indicadores[[#This Row],[Ventas]])</calculatedColumnFormula>
    </tableColumn>
    <tableColumn id="11" xr3:uid="{F2C8B7BA-140C-4C9D-8F13-CF1971E0881B}" name="%UAI" dataDxfId="1">
      <calculatedColumnFormula>IF(Indicadores[[#This Row],[Ventas]]=0,0,Indicadores[[#This Row],[UAI]]/Indicadores[[#This Row],[Ventas]])</calculatedColumnFormula>
    </tableColumn>
    <tableColumn id="12" xr3:uid="{1FED8BEF-8C7F-49DE-BCEA-091763E0750E}" name="% VENTAS" dataDxfId="0">
      <calculatedColumnFormula>IFERROR(Indicadores[[#This Row],[Ventas]]/Indicadores[[#This Row],[Activos totales]],0)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8" dT="2020-01-28T14:27:40.68" personId="{AB6F174B-8AFE-4E8B-8EA5-D894F68AB3B9}" id="{D2533855-5CCC-402E-A455-47B0735A358C}">
    <text>Omnicanalidad: es una estrategia de contenido multicanal que las organizaciones utilizan para mejorar su experiencia de usuario. Ofreciendo a los clientes la misma experiencia en todos los canales no confundir con multicanal</text>
  </threadedComment>
</ThreadedComments>
</file>

<file path=xl/threadedComments/threadedComment2.xml><?xml version="1.0" encoding="utf-8"?>
<ThreadedComments xmlns="http://schemas.microsoft.com/office/spreadsheetml/2018/threadedcomments" xmlns:x="http://schemas.openxmlformats.org/spreadsheetml/2006/main">
  <threadedComment ref="B5" dT="2020-01-29T15:42:04.54" personId="{FF83A2F8-51B5-4681-9009-D031222B2054}" id="{F1F4FA3E-876D-4196-81B4-4316645F6286}">
    <text>Las casillas sombreadas en rojo tienen la opción de No Aplica (NA). Solo debe escribir NA en cualquier casilla sombreada para invalidar la pregunta.</text>
  </threadedComment>
  <threadedComment ref="B7" dT="2020-01-29T15:51:32.88" personId="{FF83A2F8-51B5-4681-9009-D031222B2054}" id="{7D60F5C5-BAF1-441E-901B-9C3602A4F7DF}">
    <text>Las casillas sombreadas en rojo tienen la opción de No Aplica (NA). Solo debe escribir NA en cualquier casilla sombreada para invalidar la pregunta.</text>
  </threadedComment>
  <threadedComment ref="B15" dT="2020-01-29T15:55:37.49" personId="{FF83A2F8-51B5-4681-9009-D031222B2054}" id="{B94B7B32-4F53-4D10-A5E5-85A308C607D5}">
    <text>Las casillas sombreadas en rojo tienen la opción de No Aplica (NA). Solo debe escribir NA en cualquier casilla sombreada para invalidar la pregunta</text>
  </threadedComment>
  <threadedComment ref="B19" dT="2020-01-29T15:56:00.03" personId="{FF83A2F8-51B5-4681-9009-D031222B2054}" id="{92009DA8-3FA7-487B-89D7-FB9FBD7CCA82}">
    <text>Las casillas sombreadas en rojo tienen la opción de No Aplica (NA). Solo debe escribir NA en cualquier casilla sombreada para invalidar la pregunta</text>
  </threadedComment>
  <threadedComment ref="B21" dT="2020-01-29T15:56:09.65" personId="{FF83A2F8-51B5-4681-9009-D031222B2054}" id="{3F5A4D44-BB60-433A-A6BD-0301824FF871}">
    <text>Las casillas sombreadas en rojo tienen la opción de No Aplica (NA). Solo debe escribir NA en cualquier casilla sombreada para invalidar la pregunta</text>
  </threadedComment>
  <threadedComment ref="B25" dT="2020-01-29T15:56:41.52" personId="{FF83A2F8-51B5-4681-9009-D031222B2054}" id="{019D0ADE-21BB-4B98-91DC-3EC07E46A3D0}">
    <text>Las casillas sombreadas en rojo tienen la opción de No Aplica (NA). Solo debe escribir NA en cualquier casilla sombreada para invalidar la pregunta</text>
  </threadedComment>
</ThreadedComments>
</file>

<file path=xl/threadedComments/threadedComment3.xml><?xml version="1.0" encoding="utf-8"?>
<ThreadedComments xmlns="http://schemas.microsoft.com/office/spreadsheetml/2018/threadedcomments" xmlns:x="http://schemas.openxmlformats.org/spreadsheetml/2006/main">
  <threadedComment ref="B5" dT="2020-01-30T21:13:21.66" personId="{FF83A2F8-51B5-4681-9009-D031222B2054}" id="{69B8393B-18F4-4BAC-9ECF-4CE7C8063BC8}">
    <text>Las casillas sombreadas en rojo tienen la opción de No Aplica (NA). Solo debe escribir NA en cualquier casilla sombreada para invalidar la pregunta.</text>
  </threadedComment>
</ThreadedComments>
</file>

<file path=xl/threadedComments/threadedComment4.xml><?xml version="1.0" encoding="utf-8"?>
<ThreadedComments xmlns="http://schemas.microsoft.com/office/spreadsheetml/2018/threadedcomments" xmlns:x="http://schemas.openxmlformats.org/spreadsheetml/2006/main">
  <threadedComment ref="F53" dT="2021-02-17T18:03:30.68" personId="{0A8B6E66-BAA6-4831-977B-BBFD3638B036}" id="{56BF8EE6-0F43-40AA-8C91-BDF5F7CAA2D3}">
    <text>Si la organización no cuenta con proyectos asiciados a I+D+i la medición de la línea base es 0/ Sumatoria de los Valores Presente Neto de proyectos no relacionado con I+D+i de la empresa - VPNG 
la medición de salida será la Fórmula y esta reflejará el cumplimiento o no de la meta de intervención del 8%.</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omments" Target="../comments7.xml"/><Relationship Id="rId4" Type="http://schemas.openxmlformats.org/officeDocument/2006/relationships/vmlDrawing" Target="../drawings/vmlDrawing1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3.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9.bin"/><Relationship Id="rId5" Type="http://schemas.microsoft.com/office/2017/10/relationships/threadedComment" Target="../threadedComments/threadedComment2.xml"/><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849E5-6197-4394-A1DB-7F7144387850}">
  <sheetPr>
    <tabColor theme="3" tint="-0.249977111117893"/>
    <pageSetUpPr fitToPage="1"/>
  </sheetPr>
  <dimension ref="A1:AI47"/>
  <sheetViews>
    <sheetView showGridLines="0" zoomScale="90" zoomScaleNormal="90" zoomScalePageLayoutView="65" workbookViewId="0">
      <selection activeCell="AH71" sqref="AH71"/>
    </sheetView>
  </sheetViews>
  <sheetFormatPr baseColWidth="10" defaultColWidth="5" defaultRowHeight="14.15" customHeight="1" x14ac:dyDescent="0.35"/>
  <cols>
    <col min="1" max="21" width="5" style="254"/>
    <col min="22" max="22" width="9.54296875" style="254" customWidth="1"/>
    <col min="23" max="32" width="8.453125" style="254" customWidth="1"/>
    <col min="33" max="33" width="5" style="254"/>
    <col min="34" max="34" width="56.54296875" style="254" customWidth="1"/>
    <col min="35" max="35" width="9.26953125" style="254" customWidth="1"/>
    <col min="36" max="16384" width="5" style="254"/>
  </cols>
  <sheetData>
    <row r="1" spans="1:32" ht="33" customHeight="1" x14ac:dyDescent="0.35">
      <c r="A1" s="632"/>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c r="AF1" s="632"/>
    </row>
    <row r="2" spans="1:32" ht="25.9" customHeight="1" x14ac:dyDescent="0.55000000000000004">
      <c r="A2" s="632"/>
      <c r="B2" s="763"/>
      <c r="C2" s="888" t="s">
        <v>0</v>
      </c>
      <c r="D2" s="889"/>
      <c r="E2" s="890"/>
      <c r="F2" s="890"/>
      <c r="G2" s="890"/>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row>
    <row r="3" spans="1:32" ht="14.15" customHeight="1" x14ac:dyDescent="0.35">
      <c r="A3" s="632"/>
      <c r="B3" s="632"/>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row>
    <row r="4" spans="1:32" ht="14.15" hidden="1" customHeight="1" x14ac:dyDescent="0.35">
      <c r="A4" s="632"/>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row>
    <row r="5" spans="1:32" ht="14.15" hidden="1" customHeight="1" x14ac:dyDescent="0.35">
      <c r="A5" s="632"/>
      <c r="B5" s="632"/>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row>
    <row r="6" spans="1:32" ht="14.15" hidden="1" customHeight="1" x14ac:dyDescent="0.35">
      <c r="A6" s="632"/>
      <c r="B6" s="632"/>
      <c r="C6" s="63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row>
    <row r="7" spans="1:32" ht="14.15" hidden="1" customHeight="1" x14ac:dyDescent="0.35">
      <c r="A7" s="632"/>
      <c r="B7" s="632"/>
      <c r="C7" s="632"/>
      <c r="D7" s="632"/>
      <c r="E7" s="632"/>
      <c r="F7" s="632"/>
      <c r="G7" s="632"/>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row>
    <row r="8" spans="1:32" ht="14.15" customHeight="1" x14ac:dyDescent="0.35">
      <c r="A8" s="632"/>
      <c r="B8" s="632"/>
      <c r="C8" s="632"/>
      <c r="D8" s="632"/>
      <c r="E8" s="632"/>
      <c r="F8" s="632"/>
      <c r="G8" s="632"/>
      <c r="H8" s="632"/>
      <c r="I8" s="632"/>
      <c r="J8" s="632"/>
      <c r="K8" s="632"/>
      <c r="L8" s="632"/>
      <c r="M8" s="632"/>
      <c r="N8" s="632"/>
      <c r="O8" s="632"/>
      <c r="P8" s="632"/>
      <c r="Q8" s="632"/>
      <c r="R8" s="632"/>
      <c r="S8" s="632"/>
      <c r="T8" s="632"/>
      <c r="U8" s="632"/>
      <c r="V8" s="632"/>
      <c r="W8" s="632"/>
      <c r="X8" s="632"/>
      <c r="Y8" s="632"/>
      <c r="Z8" s="632"/>
      <c r="AA8" s="632"/>
      <c r="AB8" s="632"/>
      <c r="AC8" s="632"/>
      <c r="AD8" s="632"/>
      <c r="AE8" s="632"/>
      <c r="AF8" s="632"/>
    </row>
    <row r="9" spans="1:32" ht="14.15" customHeight="1" x14ac:dyDescent="0.35">
      <c r="A9" s="632"/>
      <c r="B9" s="632"/>
      <c r="C9" s="632"/>
      <c r="D9" s="632"/>
      <c r="E9" s="632"/>
      <c r="F9" s="632"/>
      <c r="G9" s="632"/>
      <c r="H9" s="632"/>
      <c r="I9" s="632"/>
      <c r="J9" s="632"/>
      <c r="K9" s="632"/>
      <c r="L9" s="632"/>
      <c r="M9" s="632"/>
      <c r="N9" s="632"/>
      <c r="O9" s="632"/>
      <c r="P9" s="632"/>
      <c r="Q9" s="762"/>
      <c r="R9" s="632"/>
      <c r="S9" s="632"/>
      <c r="T9" s="632"/>
      <c r="U9" s="632"/>
      <c r="V9" s="632"/>
      <c r="W9" s="632"/>
      <c r="X9" s="632"/>
      <c r="Y9" s="632"/>
      <c r="Z9" s="632"/>
      <c r="AA9" s="632"/>
      <c r="AB9" s="632"/>
      <c r="AC9" s="632"/>
      <c r="AD9" s="632"/>
      <c r="AE9" s="632"/>
      <c r="AF9" s="632"/>
    </row>
    <row r="10" spans="1:32" ht="30.65" customHeight="1" x14ac:dyDescent="0.35">
      <c r="A10" s="632"/>
      <c r="B10" s="632"/>
      <c r="C10" s="632"/>
      <c r="D10" s="632"/>
      <c r="E10" s="632"/>
      <c r="F10" s="632"/>
      <c r="G10" s="632"/>
      <c r="H10" s="632"/>
      <c r="I10" s="632"/>
      <c r="J10" s="632"/>
      <c r="K10" s="632"/>
      <c r="L10" s="632"/>
      <c r="M10" s="632"/>
      <c r="N10" s="632"/>
      <c r="O10" s="632"/>
      <c r="P10" s="632"/>
      <c r="Q10" s="632"/>
      <c r="R10" s="632"/>
      <c r="S10" s="632"/>
      <c r="T10" s="632"/>
      <c r="U10" s="632"/>
      <c r="V10" s="632"/>
      <c r="W10" s="632"/>
      <c r="X10" s="632"/>
      <c r="Y10" s="632"/>
      <c r="Z10" s="632"/>
      <c r="AA10" s="632"/>
      <c r="AB10" s="632"/>
      <c r="AC10" s="632"/>
      <c r="AD10" s="632"/>
      <c r="AE10" s="632"/>
      <c r="AF10" s="632"/>
    </row>
    <row r="11" spans="1:32" ht="35.15" customHeight="1" x14ac:dyDescent="0.35">
      <c r="A11" s="632"/>
      <c r="B11" s="632"/>
      <c r="C11" s="632"/>
      <c r="D11" s="632"/>
      <c r="E11" s="632"/>
      <c r="F11" s="632"/>
      <c r="G11" s="632"/>
      <c r="H11" s="632"/>
      <c r="I11" s="632"/>
      <c r="J11" s="632"/>
      <c r="K11" s="632"/>
      <c r="L11" s="632"/>
      <c r="M11" s="632"/>
      <c r="N11" s="632"/>
      <c r="O11" s="632"/>
      <c r="P11" s="632"/>
      <c r="Q11" s="632"/>
      <c r="R11" s="632"/>
      <c r="S11" s="632"/>
      <c r="T11" s="632"/>
      <c r="U11" s="632"/>
      <c r="V11" s="632"/>
      <c r="W11" s="632"/>
      <c r="X11" s="633"/>
      <c r="Y11" s="641" t="s">
        <v>1</v>
      </c>
      <c r="Z11" s="632"/>
      <c r="AA11" s="632"/>
      <c r="AB11" s="632"/>
      <c r="AC11" s="632"/>
      <c r="AD11" s="632"/>
      <c r="AE11" s="632"/>
      <c r="AF11" s="632"/>
    </row>
    <row r="12" spans="1:32" ht="14.15" customHeight="1" x14ac:dyDescent="0.35">
      <c r="A12" s="632"/>
      <c r="B12" s="632"/>
      <c r="C12" s="632"/>
      <c r="D12" s="632"/>
      <c r="E12" s="632"/>
      <c r="F12" s="632"/>
      <c r="G12" s="632"/>
      <c r="H12" s="632"/>
      <c r="I12" s="632"/>
      <c r="J12" s="632"/>
      <c r="K12" s="632"/>
      <c r="L12" s="632"/>
      <c r="M12" s="632"/>
      <c r="N12" s="632"/>
      <c r="O12" s="632"/>
      <c r="P12" s="632"/>
      <c r="Q12" s="632"/>
      <c r="R12" s="632"/>
      <c r="S12" s="632"/>
      <c r="T12" s="632"/>
      <c r="U12" s="632"/>
      <c r="V12" s="632"/>
      <c r="W12" s="632"/>
      <c r="X12" s="255"/>
      <c r="Y12" s="632"/>
      <c r="Z12" s="632"/>
      <c r="AA12" s="632"/>
      <c r="AB12" s="632"/>
      <c r="AC12" s="632"/>
      <c r="AD12" s="632"/>
      <c r="AE12" s="632"/>
      <c r="AF12" s="632"/>
    </row>
    <row r="13" spans="1:32" ht="28" customHeight="1" x14ac:dyDescent="0.35">
      <c r="A13" s="632"/>
      <c r="B13" s="632"/>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row>
    <row r="14" spans="1:32" ht="37" customHeight="1" x14ac:dyDescent="0.35">
      <c r="A14" s="632"/>
      <c r="B14" s="632"/>
      <c r="C14" s="632"/>
      <c r="D14" s="632"/>
      <c r="E14" s="632"/>
      <c r="F14" s="632"/>
      <c r="G14" s="632"/>
      <c r="H14" s="632"/>
      <c r="I14" s="632"/>
      <c r="J14" s="632"/>
      <c r="K14" s="632"/>
      <c r="L14" s="632"/>
      <c r="M14" s="632"/>
      <c r="N14" s="632"/>
      <c r="O14" s="632"/>
      <c r="P14" s="632"/>
      <c r="Q14" s="634" t="s">
        <v>2</v>
      </c>
      <c r="R14" s="255"/>
      <c r="S14" s="255"/>
      <c r="T14" s="255"/>
      <c r="U14" s="255"/>
      <c r="V14" s="255"/>
      <c r="W14" s="905">
        <v>44025</v>
      </c>
      <c r="X14" s="905"/>
      <c r="Y14" s="905"/>
      <c r="Z14" s="905"/>
      <c r="AA14" s="905"/>
      <c r="AB14" s="905"/>
      <c r="AC14" s="905"/>
      <c r="AD14" s="905"/>
      <c r="AE14" s="905"/>
      <c r="AF14" s="905"/>
    </row>
    <row r="15" spans="1:32" ht="37" customHeight="1" x14ac:dyDescent="0.35">
      <c r="A15" s="632"/>
      <c r="B15" s="632"/>
      <c r="C15" s="632"/>
      <c r="D15" s="632"/>
      <c r="E15" s="632"/>
      <c r="F15" s="632"/>
      <c r="G15" s="632"/>
      <c r="H15" s="632"/>
      <c r="I15" s="632"/>
      <c r="J15" s="632"/>
      <c r="K15" s="632"/>
      <c r="L15" s="632"/>
      <c r="M15" s="632"/>
      <c r="N15" s="632"/>
      <c r="O15" s="632"/>
      <c r="P15" s="632"/>
      <c r="Q15" s="634" t="s">
        <v>3</v>
      </c>
      <c r="R15" s="255"/>
      <c r="S15" s="255"/>
      <c r="T15" s="255"/>
      <c r="U15" s="255"/>
      <c r="V15" s="255"/>
      <c r="W15" s="906" t="s">
        <v>4</v>
      </c>
      <c r="X15" s="906"/>
      <c r="Y15" s="906"/>
      <c r="Z15" s="906"/>
      <c r="AA15" s="906"/>
      <c r="AB15" s="906"/>
      <c r="AC15" s="906"/>
      <c r="AD15" s="906"/>
      <c r="AE15" s="906"/>
      <c r="AF15" s="906"/>
    </row>
    <row r="16" spans="1:32" ht="37" customHeight="1" x14ac:dyDescent="0.35">
      <c r="A16" s="632"/>
      <c r="B16" s="632"/>
      <c r="C16" s="632"/>
      <c r="D16" s="632"/>
      <c r="E16" s="632"/>
      <c r="F16" s="632"/>
      <c r="G16" s="632"/>
      <c r="H16" s="632"/>
      <c r="I16" s="632"/>
      <c r="J16" s="632"/>
      <c r="K16" s="632"/>
      <c r="L16" s="632"/>
      <c r="M16" s="632"/>
      <c r="N16" s="632"/>
      <c r="O16" s="632"/>
      <c r="P16" s="632"/>
      <c r="Q16" s="634" t="s">
        <v>5</v>
      </c>
      <c r="R16" s="255"/>
      <c r="S16" s="255"/>
      <c r="T16" s="255"/>
      <c r="U16" s="255"/>
      <c r="V16" s="255"/>
      <c r="W16" s="906">
        <v>8</v>
      </c>
      <c r="X16" s="906"/>
      <c r="Y16" s="906"/>
      <c r="Z16" s="906"/>
      <c r="AA16" s="906"/>
      <c r="AB16" s="906"/>
      <c r="AC16" s="906"/>
      <c r="AD16" s="906"/>
      <c r="AE16" s="906"/>
      <c r="AF16" s="906"/>
    </row>
    <row r="17" spans="1:35" ht="56.15" customHeight="1" x14ac:dyDescent="0.35">
      <c r="A17" s="632"/>
      <c r="B17" s="632"/>
      <c r="C17" s="632"/>
      <c r="D17" s="632"/>
      <c r="E17" s="632"/>
      <c r="F17" s="632"/>
      <c r="G17" s="632"/>
      <c r="H17" s="632"/>
      <c r="I17" s="632"/>
      <c r="J17" s="632"/>
      <c r="K17" s="632"/>
      <c r="L17" s="632"/>
      <c r="M17" s="632"/>
      <c r="N17" s="632"/>
      <c r="O17" s="632"/>
      <c r="P17" s="632"/>
      <c r="Q17" s="634" t="s">
        <v>6</v>
      </c>
      <c r="R17" s="255"/>
      <c r="S17" s="255"/>
      <c r="T17" s="255"/>
      <c r="U17" s="255"/>
      <c r="V17" s="255"/>
      <c r="W17" s="903" t="s">
        <v>7</v>
      </c>
      <c r="X17" s="903"/>
      <c r="Y17" s="903"/>
      <c r="Z17" s="903"/>
      <c r="AA17" s="903"/>
      <c r="AB17" s="903"/>
      <c r="AC17" s="903"/>
      <c r="AD17" s="903"/>
      <c r="AE17" s="903"/>
      <c r="AF17" s="903"/>
      <c r="AH17" s="892" t="s">
        <v>8</v>
      </c>
      <c r="AI17" s="860" t="s">
        <v>9</v>
      </c>
    </row>
    <row r="18" spans="1:35" ht="42" customHeight="1" x14ac:dyDescent="0.35">
      <c r="A18" s="632"/>
      <c r="B18" s="632"/>
      <c r="C18" s="632"/>
      <c r="D18" s="632"/>
      <c r="E18" s="632"/>
      <c r="F18" s="632"/>
      <c r="G18" s="632"/>
      <c r="H18" s="632"/>
      <c r="I18" s="632"/>
      <c r="J18" s="632"/>
      <c r="K18" s="632"/>
      <c r="L18" s="632"/>
      <c r="M18" s="632"/>
      <c r="N18" s="632"/>
      <c r="O18" s="632"/>
      <c r="P18" s="632"/>
      <c r="Q18" s="904" t="s">
        <v>10</v>
      </c>
      <c r="R18" s="904"/>
      <c r="S18" s="904"/>
      <c r="T18" s="904"/>
      <c r="U18" s="904"/>
      <c r="V18" s="904"/>
      <c r="W18" s="903" t="str">
        <f>+W17</f>
        <v>C2221</v>
      </c>
      <c r="X18" s="903"/>
      <c r="Y18" s="903"/>
      <c r="Z18" s="903"/>
      <c r="AA18" s="903"/>
      <c r="AB18" s="903"/>
      <c r="AC18" s="903"/>
      <c r="AD18" s="903"/>
      <c r="AE18" s="903"/>
      <c r="AF18" s="903"/>
      <c r="AH18" s="893" t="s">
        <v>11</v>
      </c>
    </row>
    <row r="19" spans="1:35" ht="34" customHeight="1" x14ac:dyDescent="0.35">
      <c r="A19" s="632"/>
      <c r="B19" s="632"/>
      <c r="C19" s="632"/>
      <c r="D19" s="632"/>
      <c r="E19" s="632"/>
      <c r="F19" s="632"/>
      <c r="G19" s="632"/>
      <c r="H19" s="632"/>
      <c r="I19" s="632"/>
      <c r="J19" s="632"/>
      <c r="K19" s="632"/>
      <c r="L19" s="632"/>
      <c r="M19" s="632"/>
      <c r="N19" s="632"/>
      <c r="O19" s="632"/>
      <c r="P19" s="632"/>
      <c r="Q19" s="634" t="s">
        <v>12</v>
      </c>
      <c r="R19" s="255"/>
      <c r="S19" s="255"/>
      <c r="T19" s="255"/>
      <c r="U19" s="255"/>
      <c r="V19" s="255"/>
      <c r="W19" s="902" t="s">
        <v>13</v>
      </c>
      <c r="X19" s="902"/>
      <c r="Y19" s="902"/>
      <c r="Z19" s="902"/>
      <c r="AA19" s="902"/>
      <c r="AB19" s="902"/>
      <c r="AC19" s="902"/>
      <c r="AD19" s="902"/>
      <c r="AE19" s="902"/>
      <c r="AF19" s="902"/>
    </row>
    <row r="20" spans="1:35" ht="26.5" customHeight="1" x14ac:dyDescent="0.35">
      <c r="A20" s="632"/>
      <c r="B20" s="632"/>
      <c r="C20" s="632"/>
      <c r="D20" s="632"/>
      <c r="E20" s="632"/>
      <c r="F20" s="632"/>
      <c r="G20" s="632"/>
      <c r="H20" s="632"/>
      <c r="I20" s="632"/>
      <c r="J20" s="632"/>
      <c r="K20" s="632"/>
      <c r="L20" s="632"/>
      <c r="M20" s="632"/>
      <c r="N20" s="632"/>
      <c r="O20" s="632"/>
      <c r="P20" s="632"/>
      <c r="Q20" s="634" t="s">
        <v>14</v>
      </c>
      <c r="R20" s="255"/>
      <c r="S20" s="255"/>
      <c r="T20" s="255"/>
      <c r="U20" s="255"/>
      <c r="V20" s="255"/>
      <c r="W20" s="881" t="s">
        <v>15</v>
      </c>
      <c r="X20" s="881"/>
      <c r="Y20" s="881"/>
      <c r="Z20" s="881"/>
      <c r="AA20" s="881"/>
      <c r="AB20" s="881"/>
      <c r="AC20" s="881"/>
      <c r="AD20" s="881"/>
      <c r="AE20" s="881"/>
      <c r="AF20" s="881"/>
    </row>
    <row r="21" spans="1:35" ht="20.149999999999999" customHeight="1" x14ac:dyDescent="0.35">
      <c r="A21" s="632"/>
      <c r="B21" s="632"/>
      <c r="C21" s="632"/>
      <c r="D21" s="632"/>
      <c r="E21" s="632"/>
      <c r="F21" s="632"/>
      <c r="G21" s="632"/>
      <c r="H21" s="632"/>
      <c r="I21" s="632"/>
      <c r="J21" s="632"/>
      <c r="K21" s="632"/>
      <c r="L21" s="632"/>
      <c r="M21" s="632"/>
      <c r="N21" s="632"/>
      <c r="O21" s="632"/>
      <c r="P21" s="632"/>
      <c r="Q21" s="634" t="s">
        <v>16</v>
      </c>
      <c r="R21" s="255"/>
      <c r="S21" s="255"/>
      <c r="T21" s="255"/>
      <c r="U21" s="255"/>
      <c r="V21" s="255"/>
      <c r="W21" s="880" t="s">
        <v>17</v>
      </c>
      <c r="X21" s="880"/>
      <c r="Y21" s="880"/>
      <c r="Z21" s="880"/>
      <c r="AA21" s="880"/>
      <c r="AB21" s="880"/>
      <c r="AC21" s="880"/>
      <c r="AD21" s="880"/>
      <c r="AE21" s="880"/>
      <c r="AF21" s="880"/>
    </row>
    <row r="22" spans="1:35" ht="14.15" customHeight="1" x14ac:dyDescent="0.35">
      <c r="A22" s="632"/>
      <c r="B22" s="632"/>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row>
    <row r="23" spans="1:35" ht="14.15" customHeight="1" x14ac:dyDescent="0.35">
      <c r="A23" s="632"/>
      <c r="B23" s="632"/>
      <c r="C23" s="632"/>
      <c r="D23" s="632"/>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row>
    <row r="24" spans="1:35" ht="14.15" customHeight="1" x14ac:dyDescent="0.35">
      <c r="A24" s="632"/>
      <c r="B24" s="632"/>
      <c r="C24" s="632"/>
      <c r="D24" s="632"/>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row>
    <row r="25" spans="1:35" ht="14.15" customHeight="1" x14ac:dyDescent="0.35">
      <c r="A25" s="632"/>
      <c r="B25" s="632"/>
      <c r="C25" s="632"/>
      <c r="D25" s="632"/>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row>
    <row r="26" spans="1:35" customFormat="1" ht="14.15" customHeight="1" x14ac:dyDescent="0.35">
      <c r="A26" s="63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row>
    <row r="27" spans="1:35" customFormat="1" ht="14.15" customHeight="1" x14ac:dyDescent="0.35">
      <c r="A27" s="632"/>
      <c r="B27" s="632"/>
      <c r="C27" s="632"/>
      <c r="D27" s="632"/>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row>
    <row r="28" spans="1:35" customFormat="1" ht="14.15" customHeight="1" x14ac:dyDescent="0.35">
      <c r="A28" s="632"/>
      <c r="B28" s="632"/>
      <c r="C28" s="632"/>
      <c r="D28" s="632"/>
      <c r="E28" s="632"/>
      <c r="F28" s="632"/>
      <c r="G28" s="632"/>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row>
    <row r="29" spans="1:35" customFormat="1" ht="14.15" customHeight="1" x14ac:dyDescent="0.35">
      <c r="A29" s="632"/>
      <c r="B29" s="632"/>
      <c r="C29" s="632"/>
      <c r="D29" s="632"/>
      <c r="E29" s="632"/>
      <c r="F29" s="632"/>
      <c r="G29" s="632"/>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row>
    <row r="30" spans="1:35" customFormat="1" ht="14.15" customHeight="1" x14ac:dyDescent="0.35">
      <c r="A30" s="632"/>
      <c r="B30" s="632"/>
      <c r="C30" s="632"/>
      <c r="D30" s="632"/>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632"/>
      <c r="AE30" s="632"/>
      <c r="AF30" s="632"/>
    </row>
    <row r="31" spans="1:35" customFormat="1" ht="14.15" customHeight="1" x14ac:dyDescent="0.35">
      <c r="A31" s="632"/>
      <c r="B31" s="632"/>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632"/>
      <c r="AE31" s="632"/>
      <c r="AF31" s="632"/>
    </row>
    <row r="32" spans="1:35" customFormat="1" ht="14.15" customHeight="1" x14ac:dyDescent="0.35">
      <c r="A32" s="632"/>
      <c r="B32" s="632"/>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row>
    <row r="33" spans="1:32" customFormat="1" ht="14.15" customHeight="1" x14ac:dyDescent="0.35">
      <c r="A33" s="632"/>
      <c r="B33" s="632"/>
      <c r="C33" s="632"/>
      <c r="D33" s="632"/>
      <c r="E33" s="632"/>
      <c r="F33" s="632"/>
      <c r="G33" s="632"/>
      <c r="H33" s="632"/>
      <c r="I33" s="632"/>
      <c r="J33" s="632"/>
      <c r="K33" s="632"/>
      <c r="L33" s="632"/>
      <c r="M33" s="632"/>
      <c r="N33" s="632"/>
      <c r="O33" s="632"/>
      <c r="P33" s="632"/>
      <c r="Q33" s="632"/>
      <c r="R33" s="632"/>
      <c r="S33" s="632"/>
      <c r="T33" s="632"/>
      <c r="U33" s="632"/>
      <c r="V33" s="632"/>
      <c r="W33" s="632"/>
      <c r="X33" s="632"/>
      <c r="Y33" s="632"/>
      <c r="Z33" s="632"/>
      <c r="AA33" s="632"/>
      <c r="AB33" s="632"/>
      <c r="AC33" s="632"/>
      <c r="AD33" s="632"/>
      <c r="AE33" s="632"/>
      <c r="AF33" s="632"/>
    </row>
    <row r="34" spans="1:32" customFormat="1" ht="14.15" customHeight="1" x14ac:dyDescent="0.35">
      <c r="A34" s="632"/>
      <c r="B34" s="632"/>
      <c r="C34" s="632"/>
      <c r="D34" s="632"/>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row>
    <row r="35" spans="1:32" customFormat="1" ht="14.15" customHeight="1" x14ac:dyDescent="0.35">
      <c r="A35" s="632"/>
      <c r="B35" s="632"/>
      <c r="C35" s="632"/>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row>
    <row r="36" spans="1:32" customFormat="1" ht="14.15" customHeight="1" x14ac:dyDescent="0.35">
      <c r="A36" s="632"/>
      <c r="B36" s="632"/>
      <c r="C36" s="632"/>
      <c r="D36" s="632"/>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row>
    <row r="37" spans="1:32" customFormat="1" ht="14.15" customHeight="1" x14ac:dyDescent="0.35">
      <c r="A37" s="632"/>
      <c r="B37" s="632"/>
      <c r="C37" s="632"/>
      <c r="D37" s="632"/>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row>
    <row r="38" spans="1:32" customFormat="1" ht="14.15" customHeight="1" x14ac:dyDescent="0.35">
      <c r="A38" s="632"/>
      <c r="B38" s="632"/>
      <c r="C38" s="632"/>
      <c r="D38" s="632"/>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row>
    <row r="39" spans="1:32" customFormat="1" ht="14.15" customHeight="1" x14ac:dyDescent="0.35">
      <c r="A39" s="632"/>
      <c r="B39" s="632"/>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row>
    <row r="40" spans="1:32" customFormat="1" ht="14.15" customHeight="1" x14ac:dyDescent="0.35">
      <c r="A40" s="632"/>
      <c r="B40" s="632"/>
      <c r="C40" s="632"/>
      <c r="D40" s="632"/>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row>
    <row r="41" spans="1:32" customFormat="1" ht="14.15" customHeight="1" x14ac:dyDescent="0.35">
      <c r="A41" s="632"/>
      <c r="B41" s="632"/>
      <c r="C41" s="632"/>
      <c r="D41" s="632"/>
      <c r="E41" s="632"/>
      <c r="F41" s="632"/>
      <c r="G41" s="632"/>
      <c r="H41" s="632"/>
      <c r="I41" s="632"/>
      <c r="J41" s="632"/>
      <c r="K41" s="632"/>
      <c r="L41" s="632"/>
      <c r="M41" s="632"/>
      <c r="N41" s="632"/>
      <c r="O41" s="632"/>
      <c r="P41" s="632"/>
      <c r="Q41" s="632"/>
      <c r="R41" s="632"/>
      <c r="S41" s="632"/>
      <c r="T41" s="632"/>
      <c r="U41" s="632"/>
      <c r="V41" s="632"/>
      <c r="W41" s="632"/>
      <c r="X41" s="632"/>
      <c r="Y41" s="632"/>
      <c r="Z41" s="632"/>
      <c r="AA41" s="632"/>
      <c r="AB41" s="632"/>
      <c r="AC41" s="632"/>
      <c r="AD41" s="632"/>
      <c r="AE41" s="632"/>
      <c r="AF41" s="632"/>
    </row>
    <row r="42" spans="1:32" customFormat="1" ht="14.15" customHeight="1" x14ac:dyDescent="0.35">
      <c r="A42" s="632"/>
      <c r="B42" s="632"/>
      <c r="C42" s="632"/>
      <c r="D42" s="632"/>
      <c r="E42" s="632"/>
      <c r="F42" s="632"/>
      <c r="G42" s="632"/>
      <c r="H42" s="632"/>
      <c r="I42" s="632"/>
      <c r="J42" s="632"/>
      <c r="K42" s="632"/>
      <c r="L42" s="632"/>
      <c r="M42" s="632"/>
      <c r="N42" s="632"/>
      <c r="O42" s="632"/>
      <c r="P42" s="632"/>
      <c r="Q42" s="632"/>
      <c r="R42" s="632"/>
      <c r="S42" s="632"/>
      <c r="T42" s="632"/>
      <c r="U42" s="632"/>
      <c r="V42" s="632"/>
      <c r="W42" s="632"/>
      <c r="X42" s="632"/>
      <c r="Y42" s="632"/>
      <c r="Z42" s="632"/>
      <c r="AA42" s="632"/>
      <c r="AB42" s="632"/>
      <c r="AC42" s="632"/>
      <c r="AD42" s="632"/>
      <c r="AE42" s="632"/>
      <c r="AF42" s="632"/>
    </row>
    <row r="43" spans="1:32" s="712" customFormat="1" ht="24.65" customHeight="1" x14ac:dyDescent="0.5">
      <c r="A43" s="709"/>
      <c r="B43" s="709"/>
      <c r="C43" s="709"/>
      <c r="D43" s="709"/>
      <c r="E43" s="709"/>
      <c r="F43" s="709"/>
      <c r="G43" s="709"/>
      <c r="H43" s="709"/>
      <c r="I43" s="709"/>
      <c r="J43" s="709"/>
      <c r="K43" s="709"/>
      <c r="L43" s="709"/>
      <c r="M43" s="709"/>
      <c r="N43" s="709"/>
      <c r="O43" s="709"/>
      <c r="P43" s="710" t="s">
        <v>18</v>
      </c>
      <c r="Q43" s="709"/>
      <c r="R43" s="709"/>
      <c r="S43" s="709"/>
      <c r="T43" s="709"/>
      <c r="U43" s="709"/>
      <c r="V43" s="709"/>
      <c r="W43" s="710"/>
      <c r="X43" s="709"/>
      <c r="Y43" s="709"/>
      <c r="Z43" s="709"/>
      <c r="AA43" s="709"/>
      <c r="AB43" s="711"/>
      <c r="AC43" s="711"/>
      <c r="AD43" s="711"/>
      <c r="AE43" s="711"/>
      <c r="AF43" s="709"/>
    </row>
    <row r="44" spans="1:32" s="712" customFormat="1" ht="24.65" customHeight="1" x14ac:dyDescent="0.5">
      <c r="A44" s="709"/>
      <c r="B44" s="709"/>
      <c r="C44" s="709"/>
      <c r="D44" s="709"/>
      <c r="E44" s="709"/>
      <c r="F44" s="709"/>
      <c r="G44" s="709"/>
      <c r="H44" s="709"/>
      <c r="I44" s="709"/>
      <c r="J44" s="709"/>
      <c r="K44" s="709"/>
      <c r="L44" s="709"/>
      <c r="M44" s="709"/>
      <c r="N44" s="709"/>
      <c r="O44" s="709"/>
      <c r="P44" s="710" t="s">
        <v>19</v>
      </c>
      <c r="Q44" s="709"/>
      <c r="R44" s="709"/>
      <c r="S44" s="709"/>
      <c r="T44" s="711"/>
      <c r="U44" s="711"/>
      <c r="V44" s="711"/>
      <c r="W44" s="711"/>
      <c r="X44" s="711"/>
      <c r="Y44" s="711"/>
      <c r="Z44" s="711"/>
      <c r="AA44" s="711"/>
      <c r="AB44" s="711"/>
      <c r="AC44" s="711"/>
      <c r="AD44" s="711"/>
      <c r="AE44" s="711"/>
      <c r="AF44" s="709"/>
    </row>
    <row r="45" spans="1:32" customFormat="1" ht="14.15" customHeight="1" x14ac:dyDescent="0.35">
      <c r="A45" s="632"/>
      <c r="B45" s="632"/>
      <c r="C45" s="632"/>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row>
    <row r="46" spans="1:32" customFormat="1" ht="14.15" customHeight="1" x14ac:dyDescent="0.35">
      <c r="A46" s="632"/>
      <c r="B46" s="632"/>
      <c r="C46" s="632"/>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row>
    <row r="47" spans="1:32" ht="14.15" customHeight="1" x14ac:dyDescent="0.35">
      <c r="P47" s="761"/>
    </row>
  </sheetData>
  <sheetProtection selectLockedCells="1"/>
  <mergeCells count="7">
    <mergeCell ref="W19:AF19"/>
    <mergeCell ref="W18:AF18"/>
    <mergeCell ref="Q18:V18"/>
    <mergeCell ref="W17:AF17"/>
    <mergeCell ref="W14:AF14"/>
    <mergeCell ref="W15:AF15"/>
    <mergeCell ref="W16:AF16"/>
  </mergeCells>
  <hyperlinks>
    <hyperlink ref="AI17" location="SIREM!A1" display="SIREM!A1" xr:uid="{9CA5BC22-8FC1-4FDE-9D1F-93BAAB759632}"/>
  </hyperlinks>
  <pageMargins left="0.59055118110236227" right="0.59055118110236227" top="0.94488188976377963" bottom="0.59055118110236227" header="0.31496062992125984" footer="0.31496062992125984"/>
  <pageSetup scale="64" fitToHeight="0" orientation="landscape" horizontalDpi="4294967293" r:id="rId1"/>
  <headerFooter>
    <oddFooter>&amp;L&amp;"Palatino Linotype,Cursiva"© Colombia Productiva</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0E45-6C16-4582-8665-8D4196A9BAD6}">
  <sheetPr>
    <tabColor theme="4" tint="-0.249977111117893"/>
  </sheetPr>
  <dimension ref="A1:M343"/>
  <sheetViews>
    <sheetView showGridLines="0" topLeftCell="C16" zoomScale="90" zoomScaleNormal="90" zoomScaleSheetLayoutView="55" zoomScalePageLayoutView="70" workbookViewId="0">
      <selection activeCell="I17" sqref="I17"/>
    </sheetView>
  </sheetViews>
  <sheetFormatPr baseColWidth="10" defaultColWidth="0.1796875" defaultRowHeight="17" x14ac:dyDescent="0.45"/>
  <cols>
    <col min="1" max="1" width="4.7265625" style="571" customWidth="1"/>
    <col min="2" max="2" width="20.26953125" style="296" customWidth="1"/>
    <col min="3" max="4" width="31" style="296" customWidth="1"/>
    <col min="5" max="9" width="22.1796875" style="296" customWidth="1"/>
    <col min="10" max="12" width="10" style="296" customWidth="1"/>
    <col min="13" max="13" width="50.26953125" style="296" customWidth="1"/>
    <col min="14" max="16384" width="0.1796875" style="296"/>
  </cols>
  <sheetData>
    <row r="1" spans="1:13" ht="39.65" customHeight="1" x14ac:dyDescent="0.45">
      <c r="A1" s="940" t="s">
        <v>20</v>
      </c>
      <c r="B1" s="941" t="s">
        <v>21</v>
      </c>
      <c r="C1" s="942" t="s">
        <v>22</v>
      </c>
      <c r="D1" s="942" t="s">
        <v>676</v>
      </c>
      <c r="E1" s="942" t="s">
        <v>24</v>
      </c>
      <c r="F1" s="942"/>
      <c r="G1" s="942"/>
      <c r="H1" s="942"/>
      <c r="I1" s="942"/>
      <c r="J1" s="915" t="s">
        <v>25</v>
      </c>
      <c r="K1" s="915"/>
      <c r="L1" s="915"/>
      <c r="M1" s="907" t="str">
        <f>+'8'!M1:M2</f>
        <v>Observaciones generales  y/o afectaciones derivadas de la emergencia sanitaria COVID-19</v>
      </c>
    </row>
    <row r="2" spans="1:13" ht="39.65" customHeight="1" x14ac:dyDescent="0.45">
      <c r="A2" s="940"/>
      <c r="B2" s="941"/>
      <c r="C2" s="942"/>
      <c r="D2" s="942"/>
      <c r="E2" s="503">
        <v>1</v>
      </c>
      <c r="F2" s="504">
        <v>2</v>
      </c>
      <c r="G2" s="505">
        <v>3</v>
      </c>
      <c r="H2" s="506">
        <v>4</v>
      </c>
      <c r="I2" s="507">
        <v>5</v>
      </c>
      <c r="J2" s="772">
        <v>2022</v>
      </c>
      <c r="K2" s="772">
        <v>2023</v>
      </c>
      <c r="L2" s="772">
        <v>2024</v>
      </c>
      <c r="M2" s="907"/>
    </row>
    <row r="3" spans="1:13" s="498" customFormat="1" ht="18" customHeight="1" x14ac:dyDescent="0.35">
      <c r="A3" s="926">
        <v>1</v>
      </c>
      <c r="B3" s="956" t="s">
        <v>677</v>
      </c>
      <c r="C3" s="1001" t="s">
        <v>678</v>
      </c>
      <c r="D3" s="1001" t="s">
        <v>678</v>
      </c>
      <c r="E3" s="554"/>
      <c r="F3" s="554"/>
      <c r="G3" s="554"/>
      <c r="H3" s="554"/>
      <c r="I3" s="554" t="s">
        <v>46</v>
      </c>
      <c r="J3" s="555">
        <v>5</v>
      </c>
      <c r="K3" s="555">
        <v>5</v>
      </c>
      <c r="L3" s="555">
        <v>5</v>
      </c>
      <c r="M3" s="959"/>
    </row>
    <row r="4" spans="1:13" s="498" customFormat="1" ht="66" customHeight="1" x14ac:dyDescent="0.35">
      <c r="A4" s="926"/>
      <c r="B4" s="956"/>
      <c r="C4" s="1001"/>
      <c r="D4" s="1001"/>
      <c r="E4" s="611" t="s">
        <v>589</v>
      </c>
      <c r="F4" s="611" t="s">
        <v>679</v>
      </c>
      <c r="G4" s="611" t="s">
        <v>680</v>
      </c>
      <c r="H4" s="611" t="s">
        <v>681</v>
      </c>
      <c r="I4" s="611" t="s">
        <v>682</v>
      </c>
      <c r="J4" s="511"/>
      <c r="K4" s="511"/>
      <c r="L4" s="511"/>
      <c r="M4" s="959"/>
    </row>
    <row r="5" spans="1:13" s="498" customFormat="1" ht="18" customHeight="1" x14ac:dyDescent="0.35">
      <c r="A5" s="926">
        <v>2</v>
      </c>
      <c r="B5" s="956" t="s">
        <v>683</v>
      </c>
      <c r="C5" s="1001" t="s">
        <v>684</v>
      </c>
      <c r="D5" s="1002" t="s">
        <v>685</v>
      </c>
      <c r="E5" s="516"/>
      <c r="F5" s="516"/>
      <c r="G5" s="516"/>
      <c r="H5" s="516" t="s">
        <v>204</v>
      </c>
      <c r="I5" s="516"/>
      <c r="J5" s="555"/>
      <c r="K5" s="555"/>
      <c r="L5" s="555"/>
      <c r="M5" s="959"/>
    </row>
    <row r="6" spans="1:13" s="498" customFormat="1" ht="69.75" customHeight="1" x14ac:dyDescent="0.35">
      <c r="A6" s="926"/>
      <c r="B6" s="956"/>
      <c r="C6" s="1001"/>
      <c r="D6" s="1002"/>
      <c r="E6" s="611" t="s">
        <v>589</v>
      </c>
      <c r="F6" s="611" t="s">
        <v>686</v>
      </c>
      <c r="G6" s="611" t="s">
        <v>687</v>
      </c>
      <c r="H6" s="611" t="s">
        <v>688</v>
      </c>
      <c r="I6" s="611" t="s">
        <v>689</v>
      </c>
      <c r="J6" s="481"/>
      <c r="K6" s="481"/>
      <c r="L6" s="481"/>
      <c r="M6" s="959"/>
    </row>
    <row r="7" spans="1:13" s="498" customFormat="1" ht="18" customHeight="1" x14ac:dyDescent="0.35">
      <c r="A7" s="926">
        <v>3</v>
      </c>
      <c r="B7" s="956" t="s">
        <v>690</v>
      </c>
      <c r="C7" s="1001"/>
      <c r="D7" s="1002"/>
      <c r="E7" s="554"/>
      <c r="F7" s="554"/>
      <c r="G7" s="554"/>
      <c r="H7" s="554"/>
      <c r="I7" s="554" t="s">
        <v>46</v>
      </c>
      <c r="J7" s="555"/>
      <c r="K7" s="555"/>
      <c r="L7" s="555"/>
      <c r="M7" s="959"/>
    </row>
    <row r="8" spans="1:13" s="498" customFormat="1" ht="171.65" customHeight="1" x14ac:dyDescent="0.35">
      <c r="A8" s="926"/>
      <c r="B8" s="956"/>
      <c r="C8" s="1001"/>
      <c r="D8" s="1002"/>
      <c r="E8" s="778" t="s">
        <v>691</v>
      </c>
      <c r="F8" s="778" t="s">
        <v>692</v>
      </c>
      <c r="G8" s="778" t="s">
        <v>693</v>
      </c>
      <c r="H8" s="778" t="s">
        <v>694</v>
      </c>
      <c r="I8" s="778" t="s">
        <v>695</v>
      </c>
      <c r="J8" s="481"/>
      <c r="K8" s="481"/>
      <c r="L8" s="481"/>
      <c r="M8" s="959"/>
    </row>
    <row r="9" spans="1:13" s="498" customFormat="1" ht="18" customHeight="1" x14ac:dyDescent="0.35">
      <c r="A9" s="916">
        <v>4</v>
      </c>
      <c r="B9" s="919" t="s">
        <v>696</v>
      </c>
      <c r="C9" s="1001" t="s">
        <v>697</v>
      </c>
      <c r="D9" s="612"/>
      <c r="E9" s="554"/>
      <c r="F9" s="554"/>
      <c r="G9" s="554"/>
      <c r="H9" s="554"/>
      <c r="I9" s="554" t="s">
        <v>46</v>
      </c>
      <c r="J9" s="555"/>
      <c r="K9" s="555"/>
      <c r="L9" s="555"/>
      <c r="M9" s="959"/>
    </row>
    <row r="10" spans="1:13" s="498" customFormat="1" ht="224.25" customHeight="1" x14ac:dyDescent="0.35">
      <c r="A10" s="918"/>
      <c r="B10" s="921"/>
      <c r="C10" s="1001" t="s">
        <v>698</v>
      </c>
      <c r="E10" s="778" t="s">
        <v>699</v>
      </c>
      <c r="F10" s="778" t="s">
        <v>700</v>
      </c>
      <c r="G10" s="778" t="s">
        <v>701</v>
      </c>
      <c r="H10" s="778" t="s">
        <v>702</v>
      </c>
      <c r="I10" s="557" t="s">
        <v>703</v>
      </c>
      <c r="J10" s="481"/>
      <c r="K10" s="481"/>
      <c r="L10" s="481"/>
      <c r="M10" s="959"/>
    </row>
    <row r="11" spans="1:13" s="498" customFormat="1" ht="18" customHeight="1" x14ac:dyDescent="0.35">
      <c r="A11" s="926">
        <v>5</v>
      </c>
      <c r="B11" s="927" t="s">
        <v>704</v>
      </c>
      <c r="C11" s="1004" t="s">
        <v>705</v>
      </c>
      <c r="D11" s="1006"/>
      <c r="E11" s="554"/>
      <c r="F11" s="554"/>
      <c r="G11" s="554"/>
      <c r="H11" s="554"/>
      <c r="I11" s="554" t="s">
        <v>46</v>
      </c>
      <c r="J11" s="555"/>
      <c r="K11" s="555"/>
      <c r="L11" s="555"/>
      <c r="M11" s="959"/>
    </row>
    <row r="12" spans="1:13" s="498" customFormat="1" ht="234.75" customHeight="1" x14ac:dyDescent="0.35">
      <c r="A12" s="926"/>
      <c r="B12" s="1003"/>
      <c r="C12" s="1005"/>
      <c r="D12" s="1007"/>
      <c r="E12" s="778" t="s">
        <v>706</v>
      </c>
      <c r="F12" s="778" t="s">
        <v>707</v>
      </c>
      <c r="G12" s="778" t="s">
        <v>708</v>
      </c>
      <c r="H12" s="778" t="s">
        <v>709</v>
      </c>
      <c r="I12" s="778" t="s">
        <v>710</v>
      </c>
      <c r="J12" s="481"/>
      <c r="K12" s="481"/>
      <c r="L12" s="481"/>
      <c r="M12" s="959"/>
    </row>
    <row r="13" spans="1:13" s="498" customFormat="1" ht="18" customHeight="1" x14ac:dyDescent="0.35">
      <c r="A13" s="926">
        <v>6</v>
      </c>
      <c r="B13" s="956" t="s">
        <v>711</v>
      </c>
      <c r="C13" s="984" t="s">
        <v>712</v>
      </c>
      <c r="D13" s="1002"/>
      <c r="E13" s="554"/>
      <c r="F13" s="554"/>
      <c r="G13" s="554"/>
      <c r="H13" s="554"/>
      <c r="I13" s="554"/>
      <c r="J13" s="555"/>
      <c r="K13" s="555"/>
      <c r="L13" s="555"/>
      <c r="M13" s="959"/>
    </row>
    <row r="14" spans="1:13" s="498" customFormat="1" ht="252" customHeight="1" x14ac:dyDescent="0.35">
      <c r="A14" s="926"/>
      <c r="B14" s="956"/>
      <c r="C14" s="984"/>
      <c r="D14" s="1002"/>
      <c r="E14" s="778" t="s">
        <v>713</v>
      </c>
      <c r="F14" s="778" t="s">
        <v>714</v>
      </c>
      <c r="G14" s="778" t="s">
        <v>715</v>
      </c>
      <c r="H14" s="778" t="s">
        <v>716</v>
      </c>
      <c r="I14" s="778" t="s">
        <v>717</v>
      </c>
      <c r="J14" s="481"/>
      <c r="K14" s="481"/>
      <c r="L14" s="481"/>
      <c r="M14" s="959"/>
    </row>
    <row r="15" spans="1:13" s="498" customFormat="1" ht="18" customHeight="1" x14ac:dyDescent="0.35">
      <c r="A15" s="926">
        <v>7</v>
      </c>
      <c r="B15" s="956" t="s">
        <v>718</v>
      </c>
      <c r="C15" s="984" t="s">
        <v>719</v>
      </c>
      <c r="D15" s="1002"/>
      <c r="E15" s="554"/>
      <c r="F15" s="554"/>
      <c r="G15" s="554"/>
      <c r="H15" s="554"/>
      <c r="I15" s="554" t="s">
        <v>46</v>
      </c>
      <c r="J15" s="555"/>
      <c r="K15" s="555"/>
      <c r="L15" s="555"/>
      <c r="M15" s="959"/>
    </row>
    <row r="16" spans="1:13" s="498" customFormat="1" ht="122.25" customHeight="1" x14ac:dyDescent="0.35">
      <c r="A16" s="926"/>
      <c r="B16" s="956"/>
      <c r="C16" s="984"/>
      <c r="D16" s="1002"/>
      <c r="E16" s="778" t="s">
        <v>720</v>
      </c>
      <c r="F16" s="778" t="s">
        <v>721</v>
      </c>
      <c r="G16" s="778" t="s">
        <v>722</v>
      </c>
      <c r="H16" s="778" t="s">
        <v>723</v>
      </c>
      <c r="I16" s="778" t="s">
        <v>724</v>
      </c>
      <c r="J16" s="481"/>
      <c r="K16" s="481"/>
      <c r="L16" s="481"/>
      <c r="M16" s="959"/>
    </row>
    <row r="17" spans="1:13" s="498" customFormat="1" ht="18" customHeight="1" x14ac:dyDescent="0.35">
      <c r="A17" s="926">
        <v>8</v>
      </c>
      <c r="B17" s="956" t="s">
        <v>725</v>
      </c>
      <c r="C17" s="984" t="s">
        <v>726</v>
      </c>
      <c r="D17" s="1008" t="s">
        <v>727</v>
      </c>
      <c r="E17" s="554"/>
      <c r="F17" s="554"/>
      <c r="G17" s="554"/>
      <c r="H17" s="554"/>
      <c r="I17" s="554" t="s">
        <v>46</v>
      </c>
      <c r="J17" s="555"/>
      <c r="K17" s="555"/>
      <c r="L17" s="555"/>
      <c r="M17" s="959"/>
    </row>
    <row r="18" spans="1:13" s="498" customFormat="1" ht="261.75" customHeight="1" x14ac:dyDescent="0.35">
      <c r="A18" s="926"/>
      <c r="B18" s="956"/>
      <c r="C18" s="984"/>
      <c r="D18" s="1008"/>
      <c r="E18" s="778" t="s">
        <v>728</v>
      </c>
      <c r="F18" s="778" t="s">
        <v>729</v>
      </c>
      <c r="G18" s="778" t="s">
        <v>730</v>
      </c>
      <c r="H18" s="778" t="s">
        <v>731</v>
      </c>
      <c r="I18" s="778" t="s">
        <v>732</v>
      </c>
      <c r="J18" s="481"/>
      <c r="K18" s="481"/>
      <c r="L18" s="481"/>
      <c r="M18" s="959"/>
    </row>
    <row r="19" spans="1:13" s="498" customFormat="1" ht="15.5" x14ac:dyDescent="0.35">
      <c r="A19" s="593"/>
      <c r="B19" s="594"/>
      <c r="C19" s="594"/>
      <c r="D19" s="594"/>
      <c r="E19" s="594"/>
      <c r="F19" s="594"/>
      <c r="G19" s="594"/>
      <c r="H19" s="594"/>
      <c r="I19" s="594"/>
      <c r="J19" s="594"/>
      <c r="K19" s="594"/>
      <c r="L19" s="594"/>
      <c r="M19" s="595"/>
    </row>
    <row r="20" spans="1:13" s="498" customFormat="1" x14ac:dyDescent="0.45">
      <c r="A20" s="495"/>
      <c r="B20" s="596" t="s">
        <v>74</v>
      </c>
      <c r="M20" s="499"/>
    </row>
    <row r="21" spans="1:13" s="498" customFormat="1" ht="15.5" x14ac:dyDescent="0.35">
      <c r="A21" s="495"/>
      <c r="M21" s="499"/>
    </row>
    <row r="22" spans="1:13" s="498" customFormat="1" ht="15.5" x14ac:dyDescent="0.35">
      <c r="A22" s="495"/>
      <c r="M22" s="499"/>
    </row>
    <row r="23" spans="1:13" s="498" customFormat="1" ht="15.5" x14ac:dyDescent="0.35">
      <c r="A23" s="495"/>
      <c r="M23" s="499"/>
    </row>
    <row r="24" spans="1:13" s="498" customFormat="1" ht="15.5" x14ac:dyDescent="0.35">
      <c r="A24" s="495"/>
      <c r="M24" s="499"/>
    </row>
    <row r="25" spans="1:13" s="498" customFormat="1" ht="15.5" x14ac:dyDescent="0.35">
      <c r="A25" s="564"/>
      <c r="B25" s="565"/>
      <c r="C25" s="565"/>
      <c r="D25" s="565"/>
      <c r="E25" s="565"/>
      <c r="F25" s="565"/>
      <c r="G25" s="565"/>
      <c r="H25" s="565"/>
      <c r="I25" s="565"/>
      <c r="J25" s="565"/>
      <c r="K25" s="565"/>
      <c r="L25" s="565"/>
      <c r="M25" s="566"/>
    </row>
    <row r="26" spans="1:13" s="498" customFormat="1" ht="15.5" x14ac:dyDescent="0.35"/>
    <row r="27" spans="1:13" s="498" customFormat="1" ht="15.5" x14ac:dyDescent="0.35"/>
    <row r="28" spans="1:13" s="498" customFormat="1" ht="15.5" x14ac:dyDescent="0.35"/>
    <row r="29" spans="1:13" s="498" customFormat="1" ht="15.5" x14ac:dyDescent="0.35"/>
    <row r="30" spans="1:13" s="498" customFormat="1" ht="15.5" x14ac:dyDescent="0.35"/>
    <row r="31" spans="1:13" s="498" customFormat="1" ht="15.5" x14ac:dyDescent="0.35"/>
    <row r="32" spans="1:13" s="498" customFormat="1" ht="15.5" x14ac:dyDescent="0.35"/>
    <row r="33" s="498" customFormat="1" ht="15.5" x14ac:dyDescent="0.35"/>
    <row r="34" s="498" customFormat="1" ht="15.5" x14ac:dyDescent="0.35"/>
    <row r="35" s="498" customFormat="1" ht="15.5" x14ac:dyDescent="0.35"/>
    <row r="36" s="498" customFormat="1" ht="15.5" x14ac:dyDescent="0.35"/>
    <row r="37" s="498" customFormat="1" ht="15.5" x14ac:dyDescent="0.35"/>
    <row r="38" s="498" customFormat="1" ht="15.5" x14ac:dyDescent="0.35"/>
    <row r="39" s="498" customFormat="1" ht="15.5" x14ac:dyDescent="0.35"/>
    <row r="40" s="498" customFormat="1" ht="15.5" x14ac:dyDescent="0.35"/>
    <row r="41" s="498" customFormat="1" ht="15.5" x14ac:dyDescent="0.35"/>
    <row r="42" s="498" customFormat="1" ht="15.5" x14ac:dyDescent="0.35"/>
    <row r="43" s="498" customFormat="1" ht="15.5" x14ac:dyDescent="0.35"/>
    <row r="44" s="498" customFormat="1" ht="15.5" x14ac:dyDescent="0.35"/>
    <row r="45" s="498" customFormat="1" ht="15.5" x14ac:dyDescent="0.35"/>
    <row r="46" s="498" customFormat="1" ht="15.5" x14ac:dyDescent="0.35"/>
    <row r="47" s="498" customFormat="1" ht="15.5" x14ac:dyDescent="0.35"/>
    <row r="48" s="498" customFormat="1" ht="15.5" x14ac:dyDescent="0.35"/>
    <row r="49" s="498" customFormat="1" ht="15.5" x14ac:dyDescent="0.35"/>
    <row r="50" s="498" customFormat="1" ht="15.5" x14ac:dyDescent="0.35"/>
    <row r="51" s="498" customFormat="1" ht="15.5" x14ac:dyDescent="0.35"/>
    <row r="52" s="498" customFormat="1" ht="15.5" x14ac:dyDescent="0.35"/>
    <row r="53" s="498" customFormat="1" ht="15.5" x14ac:dyDescent="0.35"/>
    <row r="54" s="498" customFormat="1" ht="15.5" x14ac:dyDescent="0.35"/>
    <row r="55" s="498" customFormat="1" ht="15.5" x14ac:dyDescent="0.35"/>
    <row r="56" s="498" customFormat="1" ht="15.5" x14ac:dyDescent="0.35"/>
    <row r="57" s="498" customFormat="1" ht="15.5" x14ac:dyDescent="0.35"/>
    <row r="58" s="498" customFormat="1" ht="15.5" x14ac:dyDescent="0.35"/>
    <row r="59" s="498" customFormat="1" ht="15.5" x14ac:dyDescent="0.35"/>
    <row r="60" s="498" customFormat="1" ht="15.5" x14ac:dyDescent="0.35"/>
    <row r="61" s="498" customFormat="1" ht="15.5" x14ac:dyDescent="0.35"/>
    <row r="62" s="498" customFormat="1" ht="15.5" x14ac:dyDescent="0.35"/>
    <row r="63" s="498" customFormat="1" ht="15.5" x14ac:dyDescent="0.35"/>
    <row r="64" s="498" customFormat="1" ht="15.5" x14ac:dyDescent="0.35"/>
    <row r="65" s="498" customFormat="1" ht="15.5" x14ac:dyDescent="0.35"/>
    <row r="66" s="498" customFormat="1" ht="15.5" x14ac:dyDescent="0.35"/>
    <row r="67" s="498" customFormat="1" ht="15.5" x14ac:dyDescent="0.35"/>
    <row r="68" s="498" customFormat="1" ht="15.5" x14ac:dyDescent="0.35"/>
    <row r="69" s="498" customFormat="1" ht="15.5" x14ac:dyDescent="0.35"/>
    <row r="70" s="498" customFormat="1" ht="15.5" x14ac:dyDescent="0.35"/>
    <row r="71" s="498" customFormat="1" ht="15.5" x14ac:dyDescent="0.35"/>
    <row r="72" s="498" customFormat="1" ht="15.5" x14ac:dyDescent="0.35"/>
    <row r="73" s="498" customFormat="1" ht="15.5" x14ac:dyDescent="0.35"/>
    <row r="74" s="498" customFormat="1" ht="15.5" x14ac:dyDescent="0.35"/>
    <row r="75" s="498" customFormat="1" ht="15.5" x14ac:dyDescent="0.35"/>
    <row r="76" s="498" customFormat="1" ht="15.5" x14ac:dyDescent="0.35"/>
    <row r="77" s="498" customFormat="1" ht="15.5" x14ac:dyDescent="0.35"/>
    <row r="78" s="498" customFormat="1" ht="15.5" x14ac:dyDescent="0.35"/>
    <row r="79" s="498" customFormat="1" ht="15.5" x14ac:dyDescent="0.35"/>
    <row r="80" s="498" customFormat="1" ht="15.5" x14ac:dyDescent="0.35"/>
    <row r="81" s="498" customFormat="1" ht="15.5" x14ac:dyDescent="0.35"/>
    <row r="82" s="498" customFormat="1" ht="15.5" x14ac:dyDescent="0.35"/>
    <row r="83" s="498" customFormat="1" ht="15.5" x14ac:dyDescent="0.35"/>
    <row r="84" s="498" customFormat="1" ht="15.5" x14ac:dyDescent="0.35"/>
    <row r="85" s="498" customFormat="1" ht="15.5" x14ac:dyDescent="0.35"/>
    <row r="86" s="498" customFormat="1" ht="15.5" x14ac:dyDescent="0.35"/>
    <row r="87" s="498" customFormat="1" ht="15.5" x14ac:dyDescent="0.35"/>
    <row r="88" s="498" customFormat="1" ht="15.5" x14ac:dyDescent="0.35"/>
    <row r="89" s="498" customFormat="1" ht="15.5" x14ac:dyDescent="0.35"/>
    <row r="90" s="498" customFormat="1" ht="15.5" x14ac:dyDescent="0.35"/>
    <row r="91" s="498" customFormat="1" ht="15.5" x14ac:dyDescent="0.35"/>
    <row r="92" s="498" customFormat="1" ht="15.5" x14ac:dyDescent="0.35"/>
    <row r="93" s="498" customFormat="1" ht="15.5" x14ac:dyDescent="0.35"/>
    <row r="94" s="498" customFormat="1" ht="15.5" x14ac:dyDescent="0.35"/>
    <row r="95" s="498" customFormat="1" ht="15.5" x14ac:dyDescent="0.35"/>
    <row r="96" s="498" customFormat="1" ht="15.5" x14ac:dyDescent="0.35"/>
    <row r="97" s="498" customFormat="1" ht="15.5" x14ac:dyDescent="0.35"/>
    <row r="98" s="498" customFormat="1" ht="15.5" x14ac:dyDescent="0.35"/>
    <row r="99" s="498" customFormat="1" ht="15.5" x14ac:dyDescent="0.35"/>
    <row r="100" s="498" customFormat="1" ht="15.5" x14ac:dyDescent="0.35"/>
    <row r="101" s="498" customFormat="1" ht="15.5" x14ac:dyDescent="0.35"/>
    <row r="102" s="498" customFormat="1" ht="15.5" x14ac:dyDescent="0.35"/>
    <row r="103" s="498" customFormat="1" ht="15.5" x14ac:dyDescent="0.35"/>
    <row r="104" s="498" customFormat="1" ht="15.5" x14ac:dyDescent="0.35"/>
    <row r="105" s="498" customFormat="1" ht="15.5" x14ac:dyDescent="0.35"/>
    <row r="106" s="498" customFormat="1" ht="15.5" x14ac:dyDescent="0.35"/>
    <row r="107" s="498" customFormat="1" ht="15.5" x14ac:dyDescent="0.35"/>
    <row r="108" s="498" customFormat="1" ht="15.5" x14ac:dyDescent="0.35"/>
    <row r="109" s="498" customFormat="1" ht="15.5" x14ac:dyDescent="0.35"/>
    <row r="110" s="498" customFormat="1" ht="15.5" x14ac:dyDescent="0.35"/>
    <row r="111" s="498" customFormat="1" ht="15.5" x14ac:dyDescent="0.35"/>
    <row r="112" s="498" customFormat="1" ht="15.5" x14ac:dyDescent="0.35"/>
    <row r="113" s="498" customFormat="1" ht="15.5" x14ac:dyDescent="0.35"/>
    <row r="114" s="498" customFormat="1" ht="15.5" x14ac:dyDescent="0.35"/>
    <row r="115" s="498" customFormat="1" ht="15.5" x14ac:dyDescent="0.35"/>
    <row r="116" s="498" customFormat="1" ht="15.5" x14ac:dyDescent="0.35"/>
    <row r="117" s="498" customFormat="1" ht="15.5" x14ac:dyDescent="0.35"/>
    <row r="118" s="498" customFormat="1" ht="15.5" x14ac:dyDescent="0.35"/>
    <row r="119" s="498" customFormat="1" ht="15.5" x14ac:dyDescent="0.35"/>
    <row r="120" s="498" customFormat="1" ht="15.5" x14ac:dyDescent="0.35"/>
    <row r="121" s="498" customFormat="1" ht="15.5" x14ac:dyDescent="0.35"/>
    <row r="122" s="498" customFormat="1" ht="15.5" x14ac:dyDescent="0.35"/>
    <row r="123" s="498" customFormat="1" ht="15.5" x14ac:dyDescent="0.35"/>
    <row r="124" s="498" customFormat="1" ht="15.5" x14ac:dyDescent="0.35"/>
    <row r="125" s="498" customFormat="1" ht="15.5" x14ac:dyDescent="0.35"/>
    <row r="126" s="498" customFormat="1" ht="15.5" x14ac:dyDescent="0.35"/>
    <row r="127" s="498" customFormat="1" ht="15.5" x14ac:dyDescent="0.35"/>
    <row r="128" s="498" customFormat="1" ht="15.5" x14ac:dyDescent="0.35"/>
    <row r="129" s="498" customFormat="1" ht="15.5" x14ac:dyDescent="0.35"/>
    <row r="130" s="498" customFormat="1" ht="15.5" x14ac:dyDescent="0.35"/>
    <row r="131" s="498" customFormat="1" ht="15.5" x14ac:dyDescent="0.35"/>
    <row r="132" s="498" customFormat="1" ht="15.5" x14ac:dyDescent="0.35"/>
    <row r="133" s="498" customFormat="1" ht="15.5" x14ac:dyDescent="0.35"/>
    <row r="134" s="498" customFormat="1" ht="15.5" x14ac:dyDescent="0.35"/>
    <row r="135" s="498" customFormat="1" ht="15.5" x14ac:dyDescent="0.35"/>
    <row r="136" s="498" customFormat="1" ht="15.5" x14ac:dyDescent="0.35"/>
    <row r="137" s="498" customFormat="1" ht="15.5" x14ac:dyDescent="0.35"/>
    <row r="138" s="498" customFormat="1" ht="15.5" x14ac:dyDescent="0.35"/>
    <row r="139" s="498" customFormat="1" ht="15.5" x14ac:dyDescent="0.35"/>
    <row r="140" s="498" customFormat="1" ht="15.5" x14ac:dyDescent="0.35"/>
    <row r="141" s="498" customFormat="1" ht="15.5" x14ac:dyDescent="0.35"/>
    <row r="142" s="498" customFormat="1" ht="15.5" x14ac:dyDescent="0.35"/>
    <row r="143" s="498" customFormat="1" ht="15.5" x14ac:dyDescent="0.35"/>
    <row r="144" s="498" customFormat="1" ht="15.5" x14ac:dyDescent="0.35"/>
    <row r="145" s="498" customFormat="1" ht="15.5" x14ac:dyDescent="0.35"/>
    <row r="146" s="498" customFormat="1" ht="15.5" x14ac:dyDescent="0.35"/>
    <row r="147" s="498" customFormat="1" ht="15.5" x14ac:dyDescent="0.35"/>
    <row r="148" s="498" customFormat="1" ht="15.5" x14ac:dyDescent="0.35"/>
    <row r="149" s="498" customFormat="1" ht="15.5" x14ac:dyDescent="0.35"/>
    <row r="150" s="498" customFormat="1" ht="15.5" x14ac:dyDescent="0.35"/>
    <row r="151" s="498" customFormat="1" ht="15.5" x14ac:dyDescent="0.35"/>
    <row r="152" s="498" customFormat="1" ht="15.5" x14ac:dyDescent="0.35"/>
    <row r="153" s="498" customFormat="1" ht="15.5" x14ac:dyDescent="0.35"/>
    <row r="154" s="498" customFormat="1" ht="15.5" x14ac:dyDescent="0.35"/>
    <row r="155" s="498" customFormat="1" ht="15.5" x14ac:dyDescent="0.35"/>
    <row r="156" s="498" customFormat="1" ht="15.5" x14ac:dyDescent="0.35"/>
    <row r="157" s="498" customFormat="1" ht="15.5" x14ac:dyDescent="0.35"/>
    <row r="158" s="498" customFormat="1" ht="15.5" x14ac:dyDescent="0.35"/>
    <row r="159" s="498" customFormat="1" ht="15.5" x14ac:dyDescent="0.35"/>
    <row r="160" s="498" customFormat="1" ht="15.5" x14ac:dyDescent="0.35"/>
    <row r="161" s="498" customFormat="1" ht="15.5" x14ac:dyDescent="0.35"/>
    <row r="162" s="498" customFormat="1" ht="15.5" x14ac:dyDescent="0.35"/>
    <row r="163" s="498" customFormat="1" ht="15.5" x14ac:dyDescent="0.35"/>
    <row r="164" s="498" customFormat="1" ht="15.5" x14ac:dyDescent="0.35"/>
    <row r="165" s="498" customFormat="1" ht="15.5" x14ac:dyDescent="0.35"/>
    <row r="166" s="498" customFormat="1" ht="15.5" x14ac:dyDescent="0.35"/>
    <row r="167" s="498" customFormat="1" ht="15.5" x14ac:dyDescent="0.35"/>
    <row r="168" s="498" customFormat="1" ht="15.5" x14ac:dyDescent="0.35"/>
    <row r="169" s="498" customFormat="1" ht="15.5" x14ac:dyDescent="0.35"/>
    <row r="170" s="498" customFormat="1" ht="15.5" x14ac:dyDescent="0.35"/>
    <row r="171" s="498" customFormat="1" ht="15.5" x14ac:dyDescent="0.35"/>
    <row r="172" s="498" customFormat="1" ht="15.5" x14ac:dyDescent="0.35"/>
    <row r="173" s="498" customFormat="1" ht="15.5" x14ac:dyDescent="0.35"/>
    <row r="174" s="498" customFormat="1" ht="15.5" x14ac:dyDescent="0.35"/>
    <row r="175" s="498" customFormat="1" ht="15.5" x14ac:dyDescent="0.35"/>
    <row r="176" s="498" customFormat="1" ht="15.5" x14ac:dyDescent="0.35"/>
    <row r="177" spans="1:1" s="498" customFormat="1" ht="15.5" x14ac:dyDescent="0.35"/>
    <row r="178" spans="1:1" s="498" customFormat="1" ht="15.5" x14ac:dyDescent="0.35"/>
    <row r="179" spans="1:1" s="498" customFormat="1" ht="15.5" x14ac:dyDescent="0.35"/>
    <row r="180" spans="1:1" s="498" customFormat="1" ht="15.5" x14ac:dyDescent="0.35"/>
    <row r="181" spans="1:1" s="498" customFormat="1" ht="15.5" x14ac:dyDescent="0.35"/>
    <row r="182" spans="1:1" s="498" customFormat="1" ht="15.5" x14ac:dyDescent="0.35"/>
    <row r="183" spans="1:1" s="498" customFormat="1" ht="15.5" x14ac:dyDescent="0.35"/>
    <row r="184" spans="1:1" s="498" customFormat="1" ht="15.5" x14ac:dyDescent="0.35"/>
    <row r="185" spans="1:1" s="498" customFormat="1" ht="15.5" x14ac:dyDescent="0.35"/>
    <row r="186" spans="1:1" s="498" customFormat="1" ht="15.5" x14ac:dyDescent="0.35"/>
    <row r="187" spans="1:1" s="536" customFormat="1" x14ac:dyDescent="0.35">
      <c r="A187" s="553"/>
    </row>
    <row r="188" spans="1:1" s="536" customFormat="1" x14ac:dyDescent="0.35">
      <c r="A188" s="553"/>
    </row>
    <row r="189" spans="1:1" s="536" customFormat="1" x14ac:dyDescent="0.35">
      <c r="A189" s="553"/>
    </row>
    <row r="190" spans="1:1" s="536" customFormat="1" x14ac:dyDescent="0.35">
      <c r="A190" s="553"/>
    </row>
    <row r="191" spans="1:1" s="536" customFormat="1" x14ac:dyDescent="0.35">
      <c r="A191" s="553"/>
    </row>
    <row r="192" spans="1:1" s="536" customFormat="1" x14ac:dyDescent="0.35">
      <c r="A192" s="553"/>
    </row>
    <row r="193" spans="1:1" s="536" customFormat="1" x14ac:dyDescent="0.35">
      <c r="A193" s="553"/>
    </row>
    <row r="194" spans="1:1" s="536" customFormat="1" x14ac:dyDescent="0.35">
      <c r="A194" s="553"/>
    </row>
    <row r="195" spans="1:1" s="536" customFormat="1" x14ac:dyDescent="0.35">
      <c r="A195" s="553"/>
    </row>
    <row r="196" spans="1:1" s="536" customFormat="1" x14ac:dyDescent="0.35">
      <c r="A196" s="553"/>
    </row>
    <row r="197" spans="1:1" s="536" customFormat="1" x14ac:dyDescent="0.35">
      <c r="A197" s="553"/>
    </row>
    <row r="198" spans="1:1" s="536" customFormat="1" x14ac:dyDescent="0.35">
      <c r="A198" s="553"/>
    </row>
    <row r="199" spans="1:1" s="536" customFormat="1" x14ac:dyDescent="0.35">
      <c r="A199" s="553"/>
    </row>
    <row r="200" spans="1:1" s="536" customFormat="1" x14ac:dyDescent="0.35">
      <c r="A200" s="553"/>
    </row>
    <row r="201" spans="1:1" s="536" customFormat="1" x14ac:dyDescent="0.35">
      <c r="A201" s="553"/>
    </row>
    <row r="202" spans="1:1" s="536" customFormat="1" x14ac:dyDescent="0.35">
      <c r="A202" s="553"/>
    </row>
    <row r="203" spans="1:1" s="536" customFormat="1" x14ac:dyDescent="0.35">
      <c r="A203" s="553"/>
    </row>
    <row r="204" spans="1:1" s="536" customFormat="1" x14ac:dyDescent="0.35">
      <c r="A204" s="553"/>
    </row>
    <row r="205" spans="1:1" s="536" customFormat="1" x14ac:dyDescent="0.35">
      <c r="A205" s="553"/>
    </row>
    <row r="206" spans="1:1" s="536" customFormat="1" x14ac:dyDescent="0.35">
      <c r="A206" s="553"/>
    </row>
    <row r="207" spans="1:1" s="536" customFormat="1" x14ac:dyDescent="0.35">
      <c r="A207" s="553"/>
    </row>
    <row r="208" spans="1:1" s="536" customFormat="1" x14ac:dyDescent="0.35">
      <c r="A208" s="553"/>
    </row>
    <row r="209" spans="1:1" s="536" customFormat="1" x14ac:dyDescent="0.35">
      <c r="A209" s="553"/>
    </row>
    <row r="210" spans="1:1" s="536" customFormat="1" x14ac:dyDescent="0.35">
      <c r="A210" s="553"/>
    </row>
    <row r="211" spans="1:1" s="536" customFormat="1" x14ac:dyDescent="0.35">
      <c r="A211" s="553"/>
    </row>
    <row r="212" spans="1:1" s="536" customFormat="1" x14ac:dyDescent="0.35">
      <c r="A212" s="553"/>
    </row>
    <row r="213" spans="1:1" s="536" customFormat="1" x14ac:dyDescent="0.35">
      <c r="A213" s="553"/>
    </row>
    <row r="214" spans="1:1" s="536" customFormat="1" x14ac:dyDescent="0.35">
      <c r="A214" s="553"/>
    </row>
    <row r="215" spans="1:1" s="536" customFormat="1" x14ac:dyDescent="0.35">
      <c r="A215" s="553"/>
    </row>
    <row r="216" spans="1:1" s="536" customFormat="1" x14ac:dyDescent="0.35">
      <c r="A216" s="553"/>
    </row>
    <row r="217" spans="1:1" s="536" customFormat="1" x14ac:dyDescent="0.35">
      <c r="A217" s="553"/>
    </row>
    <row r="218" spans="1:1" s="536" customFormat="1" x14ac:dyDescent="0.35">
      <c r="A218" s="553"/>
    </row>
    <row r="219" spans="1:1" s="536" customFormat="1" x14ac:dyDescent="0.35">
      <c r="A219" s="553"/>
    </row>
    <row r="220" spans="1:1" s="536" customFormat="1" x14ac:dyDescent="0.35">
      <c r="A220" s="553"/>
    </row>
    <row r="221" spans="1:1" s="536" customFormat="1" x14ac:dyDescent="0.35">
      <c r="A221" s="553"/>
    </row>
    <row r="222" spans="1:1" s="536" customFormat="1" x14ac:dyDescent="0.35">
      <c r="A222" s="553"/>
    </row>
    <row r="223" spans="1:1" s="536" customFormat="1" x14ac:dyDescent="0.35">
      <c r="A223" s="553"/>
    </row>
    <row r="224" spans="1:1" s="536" customFormat="1" x14ac:dyDescent="0.35">
      <c r="A224" s="553"/>
    </row>
    <row r="225" spans="1:1" s="536" customFormat="1" x14ac:dyDescent="0.35">
      <c r="A225" s="553"/>
    </row>
    <row r="226" spans="1:1" s="536" customFormat="1" x14ac:dyDescent="0.35">
      <c r="A226" s="553"/>
    </row>
    <row r="227" spans="1:1" s="536" customFormat="1" x14ac:dyDescent="0.35">
      <c r="A227" s="553"/>
    </row>
    <row r="228" spans="1:1" s="536" customFormat="1" x14ac:dyDescent="0.35">
      <c r="A228" s="553"/>
    </row>
    <row r="229" spans="1:1" s="536" customFormat="1" x14ac:dyDescent="0.35">
      <c r="A229" s="553"/>
    </row>
    <row r="230" spans="1:1" s="536" customFormat="1" x14ac:dyDescent="0.35">
      <c r="A230" s="553"/>
    </row>
    <row r="231" spans="1:1" s="536" customFormat="1" x14ac:dyDescent="0.35">
      <c r="A231" s="553"/>
    </row>
    <row r="232" spans="1:1" s="536" customFormat="1" x14ac:dyDescent="0.35">
      <c r="A232" s="553"/>
    </row>
    <row r="233" spans="1:1" s="536" customFormat="1" x14ac:dyDescent="0.35">
      <c r="A233" s="553"/>
    </row>
    <row r="234" spans="1:1" s="536" customFormat="1" x14ac:dyDescent="0.35">
      <c r="A234" s="553"/>
    </row>
    <row r="235" spans="1:1" s="536" customFormat="1" x14ac:dyDescent="0.35">
      <c r="A235" s="553"/>
    </row>
    <row r="236" spans="1:1" s="536" customFormat="1" x14ac:dyDescent="0.35">
      <c r="A236" s="553"/>
    </row>
    <row r="237" spans="1:1" s="536" customFormat="1" x14ac:dyDescent="0.35">
      <c r="A237" s="553"/>
    </row>
    <row r="238" spans="1:1" s="536" customFormat="1" x14ac:dyDescent="0.35">
      <c r="A238" s="553"/>
    </row>
    <row r="239" spans="1:1" s="536" customFormat="1" x14ac:dyDescent="0.35">
      <c r="A239" s="553"/>
    </row>
    <row r="240" spans="1:1" s="536" customFormat="1" x14ac:dyDescent="0.35">
      <c r="A240" s="553"/>
    </row>
    <row r="241" spans="1:1" s="536" customFormat="1" x14ac:dyDescent="0.35">
      <c r="A241" s="553"/>
    </row>
    <row r="242" spans="1:1" s="536" customFormat="1" x14ac:dyDescent="0.35">
      <c r="A242" s="553"/>
    </row>
    <row r="243" spans="1:1" s="536" customFormat="1" x14ac:dyDescent="0.35">
      <c r="A243" s="553"/>
    </row>
    <row r="244" spans="1:1" s="536" customFormat="1" x14ac:dyDescent="0.35">
      <c r="A244" s="553"/>
    </row>
    <row r="245" spans="1:1" s="536" customFormat="1" x14ac:dyDescent="0.35">
      <c r="A245" s="553"/>
    </row>
    <row r="246" spans="1:1" s="536" customFormat="1" x14ac:dyDescent="0.35">
      <c r="A246" s="553"/>
    </row>
    <row r="247" spans="1:1" s="536" customFormat="1" x14ac:dyDescent="0.35">
      <c r="A247" s="553"/>
    </row>
    <row r="248" spans="1:1" s="536" customFormat="1" x14ac:dyDescent="0.35">
      <c r="A248" s="553"/>
    </row>
    <row r="249" spans="1:1" s="536" customFormat="1" x14ac:dyDescent="0.35">
      <c r="A249" s="553"/>
    </row>
    <row r="250" spans="1:1" s="536" customFormat="1" x14ac:dyDescent="0.35">
      <c r="A250" s="553"/>
    </row>
    <row r="251" spans="1:1" s="536" customFormat="1" x14ac:dyDescent="0.35">
      <c r="A251" s="553"/>
    </row>
    <row r="252" spans="1:1" s="536" customFormat="1" x14ac:dyDescent="0.35">
      <c r="A252" s="553"/>
    </row>
    <row r="253" spans="1:1" s="536" customFormat="1" x14ac:dyDescent="0.35">
      <c r="A253" s="553"/>
    </row>
    <row r="254" spans="1:1" s="536" customFormat="1" x14ac:dyDescent="0.35">
      <c r="A254" s="553"/>
    </row>
    <row r="255" spans="1:1" s="536" customFormat="1" x14ac:dyDescent="0.35">
      <c r="A255" s="553"/>
    </row>
    <row r="256" spans="1:1" s="536" customFormat="1" x14ac:dyDescent="0.35">
      <c r="A256" s="553"/>
    </row>
    <row r="257" spans="1:1" s="536" customFormat="1" x14ac:dyDescent="0.35">
      <c r="A257" s="553"/>
    </row>
    <row r="258" spans="1:1" s="536" customFormat="1" x14ac:dyDescent="0.35">
      <c r="A258" s="553"/>
    </row>
    <row r="259" spans="1:1" s="536" customFormat="1" x14ac:dyDescent="0.35">
      <c r="A259" s="553"/>
    </row>
    <row r="260" spans="1:1" s="536" customFormat="1" x14ac:dyDescent="0.35">
      <c r="A260" s="553"/>
    </row>
    <row r="261" spans="1:1" s="536" customFormat="1" x14ac:dyDescent="0.35">
      <c r="A261" s="553"/>
    </row>
    <row r="262" spans="1:1" s="536" customFormat="1" x14ac:dyDescent="0.35">
      <c r="A262" s="553"/>
    </row>
    <row r="263" spans="1:1" s="536" customFormat="1" x14ac:dyDescent="0.35">
      <c r="A263" s="553"/>
    </row>
    <row r="264" spans="1:1" s="536" customFormat="1" x14ac:dyDescent="0.35">
      <c r="A264" s="553"/>
    </row>
    <row r="265" spans="1:1" s="536" customFormat="1" x14ac:dyDescent="0.35">
      <c r="A265" s="553"/>
    </row>
    <row r="266" spans="1:1" s="536" customFormat="1" x14ac:dyDescent="0.35">
      <c r="A266" s="553"/>
    </row>
    <row r="267" spans="1:1" s="536" customFormat="1" x14ac:dyDescent="0.35">
      <c r="A267" s="553"/>
    </row>
    <row r="268" spans="1:1" s="536" customFormat="1" x14ac:dyDescent="0.35">
      <c r="A268" s="553"/>
    </row>
    <row r="269" spans="1:1" s="536" customFormat="1" x14ac:dyDescent="0.35">
      <c r="A269" s="553"/>
    </row>
    <row r="270" spans="1:1" s="536" customFormat="1" x14ac:dyDescent="0.35">
      <c r="A270" s="553"/>
    </row>
    <row r="271" spans="1:1" s="536" customFormat="1" x14ac:dyDescent="0.35">
      <c r="A271" s="553"/>
    </row>
    <row r="272" spans="1:1" s="536" customFormat="1" x14ac:dyDescent="0.35">
      <c r="A272" s="553"/>
    </row>
    <row r="273" spans="1:1" s="536" customFormat="1" x14ac:dyDescent="0.35">
      <c r="A273" s="553"/>
    </row>
    <row r="274" spans="1:1" s="536" customFormat="1" x14ac:dyDescent="0.35">
      <c r="A274" s="553"/>
    </row>
    <row r="275" spans="1:1" s="536" customFormat="1" x14ac:dyDescent="0.35">
      <c r="A275" s="553"/>
    </row>
    <row r="276" spans="1:1" s="536" customFormat="1" x14ac:dyDescent="0.35">
      <c r="A276" s="553"/>
    </row>
    <row r="277" spans="1:1" s="536" customFormat="1" x14ac:dyDescent="0.35">
      <c r="A277" s="553"/>
    </row>
    <row r="278" spans="1:1" s="536" customFormat="1" x14ac:dyDescent="0.35">
      <c r="A278" s="553"/>
    </row>
    <row r="279" spans="1:1" s="536" customFormat="1" x14ac:dyDescent="0.35">
      <c r="A279" s="553"/>
    </row>
    <row r="280" spans="1:1" s="536" customFormat="1" x14ac:dyDescent="0.35">
      <c r="A280" s="553"/>
    </row>
    <row r="281" spans="1:1" s="536" customFormat="1" x14ac:dyDescent="0.35">
      <c r="A281" s="553"/>
    </row>
    <row r="282" spans="1:1" s="536" customFormat="1" x14ac:dyDescent="0.35">
      <c r="A282" s="553"/>
    </row>
    <row r="283" spans="1:1" s="536" customFormat="1" x14ac:dyDescent="0.35">
      <c r="A283" s="553"/>
    </row>
    <row r="284" spans="1:1" s="536" customFormat="1" x14ac:dyDescent="0.35">
      <c r="A284" s="553"/>
    </row>
    <row r="285" spans="1:1" s="536" customFormat="1" x14ac:dyDescent="0.35">
      <c r="A285" s="553"/>
    </row>
    <row r="286" spans="1:1" s="536" customFormat="1" x14ac:dyDescent="0.35">
      <c r="A286" s="553"/>
    </row>
    <row r="287" spans="1:1" s="536" customFormat="1" x14ac:dyDescent="0.35">
      <c r="A287" s="553"/>
    </row>
    <row r="288" spans="1:1" s="536" customFormat="1" x14ac:dyDescent="0.35">
      <c r="A288" s="553"/>
    </row>
    <row r="289" spans="1:1" s="536" customFormat="1" x14ac:dyDescent="0.35">
      <c r="A289" s="553"/>
    </row>
    <row r="290" spans="1:1" s="536" customFormat="1" x14ac:dyDescent="0.35">
      <c r="A290" s="553"/>
    </row>
    <row r="291" spans="1:1" s="536" customFormat="1" x14ac:dyDescent="0.35">
      <c r="A291" s="553"/>
    </row>
    <row r="292" spans="1:1" s="536" customFormat="1" x14ac:dyDescent="0.35">
      <c r="A292" s="553"/>
    </row>
    <row r="293" spans="1:1" s="536" customFormat="1" x14ac:dyDescent="0.35">
      <c r="A293" s="553"/>
    </row>
    <row r="294" spans="1:1" s="536" customFormat="1" x14ac:dyDescent="0.35">
      <c r="A294" s="553"/>
    </row>
    <row r="295" spans="1:1" s="536" customFormat="1" x14ac:dyDescent="0.35">
      <c r="A295" s="553"/>
    </row>
    <row r="296" spans="1:1" s="536" customFormat="1" x14ac:dyDescent="0.35">
      <c r="A296" s="553"/>
    </row>
    <row r="297" spans="1:1" s="536" customFormat="1" x14ac:dyDescent="0.35">
      <c r="A297" s="553"/>
    </row>
    <row r="298" spans="1:1" s="536" customFormat="1" x14ac:dyDescent="0.35">
      <c r="A298" s="553"/>
    </row>
    <row r="299" spans="1:1" s="536" customFormat="1" x14ac:dyDescent="0.35">
      <c r="A299" s="553"/>
    </row>
    <row r="300" spans="1:1" s="536" customFormat="1" x14ac:dyDescent="0.35">
      <c r="A300" s="553"/>
    </row>
    <row r="301" spans="1:1" s="536" customFormat="1" x14ac:dyDescent="0.35">
      <c r="A301" s="553"/>
    </row>
    <row r="302" spans="1:1" s="536" customFormat="1" x14ac:dyDescent="0.35">
      <c r="A302" s="553"/>
    </row>
    <row r="303" spans="1:1" s="536" customFormat="1" x14ac:dyDescent="0.35">
      <c r="A303" s="553"/>
    </row>
    <row r="304" spans="1:1" s="536" customFormat="1" x14ac:dyDescent="0.35">
      <c r="A304" s="553"/>
    </row>
    <row r="305" spans="1:1" s="536" customFormat="1" x14ac:dyDescent="0.35">
      <c r="A305" s="553"/>
    </row>
    <row r="306" spans="1:1" s="536" customFormat="1" x14ac:dyDescent="0.35">
      <c r="A306" s="553"/>
    </row>
    <row r="307" spans="1:1" s="536" customFormat="1" x14ac:dyDescent="0.35">
      <c r="A307" s="553"/>
    </row>
    <row r="308" spans="1:1" s="536" customFormat="1" x14ac:dyDescent="0.35">
      <c r="A308" s="553"/>
    </row>
    <row r="309" spans="1:1" s="536" customFormat="1" x14ac:dyDescent="0.35">
      <c r="A309" s="553"/>
    </row>
    <row r="310" spans="1:1" s="536" customFormat="1" x14ac:dyDescent="0.35">
      <c r="A310" s="553"/>
    </row>
    <row r="311" spans="1:1" s="536" customFormat="1" x14ac:dyDescent="0.35">
      <c r="A311" s="553"/>
    </row>
    <row r="312" spans="1:1" s="536" customFormat="1" x14ac:dyDescent="0.35">
      <c r="A312" s="553"/>
    </row>
    <row r="313" spans="1:1" s="536" customFormat="1" x14ac:dyDescent="0.35">
      <c r="A313" s="553"/>
    </row>
    <row r="314" spans="1:1" s="536" customFormat="1" x14ac:dyDescent="0.35">
      <c r="A314" s="553"/>
    </row>
    <row r="315" spans="1:1" s="536" customFormat="1" x14ac:dyDescent="0.35">
      <c r="A315" s="553"/>
    </row>
    <row r="316" spans="1:1" s="536" customFormat="1" x14ac:dyDescent="0.35">
      <c r="A316" s="553"/>
    </row>
    <row r="317" spans="1:1" s="536" customFormat="1" x14ac:dyDescent="0.35">
      <c r="A317" s="553"/>
    </row>
    <row r="318" spans="1:1" s="536" customFormat="1" x14ac:dyDescent="0.35">
      <c r="A318" s="553"/>
    </row>
    <row r="319" spans="1:1" s="536" customFormat="1" x14ac:dyDescent="0.35">
      <c r="A319" s="553"/>
    </row>
    <row r="320" spans="1:1" s="536" customFormat="1" x14ac:dyDescent="0.35">
      <c r="A320" s="553"/>
    </row>
    <row r="321" spans="1:1" s="536" customFormat="1" x14ac:dyDescent="0.35">
      <c r="A321" s="553"/>
    </row>
    <row r="322" spans="1:1" s="536" customFormat="1" x14ac:dyDescent="0.35">
      <c r="A322" s="553"/>
    </row>
    <row r="323" spans="1:1" s="536" customFormat="1" x14ac:dyDescent="0.35">
      <c r="A323" s="553"/>
    </row>
    <row r="324" spans="1:1" s="536" customFormat="1" x14ac:dyDescent="0.35">
      <c r="A324" s="553"/>
    </row>
    <row r="325" spans="1:1" s="536" customFormat="1" x14ac:dyDescent="0.35">
      <c r="A325" s="553"/>
    </row>
    <row r="326" spans="1:1" s="536" customFormat="1" x14ac:dyDescent="0.35">
      <c r="A326" s="553"/>
    </row>
    <row r="327" spans="1:1" s="536" customFormat="1" x14ac:dyDescent="0.35">
      <c r="A327" s="553"/>
    </row>
    <row r="328" spans="1:1" s="536" customFormat="1" x14ac:dyDescent="0.35">
      <c r="A328" s="553"/>
    </row>
    <row r="329" spans="1:1" s="536" customFormat="1" x14ac:dyDescent="0.35">
      <c r="A329" s="553"/>
    </row>
    <row r="330" spans="1:1" s="536" customFormat="1" x14ac:dyDescent="0.35">
      <c r="A330" s="553"/>
    </row>
    <row r="331" spans="1:1" s="536" customFormat="1" x14ac:dyDescent="0.35">
      <c r="A331" s="553"/>
    </row>
    <row r="332" spans="1:1" s="536" customFormat="1" x14ac:dyDescent="0.35">
      <c r="A332" s="553"/>
    </row>
    <row r="333" spans="1:1" s="536" customFormat="1" x14ac:dyDescent="0.35">
      <c r="A333" s="553"/>
    </row>
    <row r="334" spans="1:1" s="536" customFormat="1" x14ac:dyDescent="0.35">
      <c r="A334" s="553"/>
    </row>
    <row r="335" spans="1:1" s="536" customFormat="1" x14ac:dyDescent="0.35">
      <c r="A335" s="553"/>
    </row>
    <row r="336" spans="1:1" s="536" customFormat="1" x14ac:dyDescent="0.35">
      <c r="A336" s="553"/>
    </row>
    <row r="337" spans="1:1" s="536" customFormat="1" x14ac:dyDescent="0.35">
      <c r="A337" s="553"/>
    </row>
    <row r="338" spans="1:1" s="536" customFormat="1" x14ac:dyDescent="0.35">
      <c r="A338" s="553"/>
    </row>
    <row r="339" spans="1:1" s="536" customFormat="1" x14ac:dyDescent="0.35">
      <c r="A339" s="553"/>
    </row>
    <row r="340" spans="1:1" s="536" customFormat="1" x14ac:dyDescent="0.35">
      <c r="A340" s="553"/>
    </row>
    <row r="341" spans="1:1" s="536" customFormat="1" x14ac:dyDescent="0.35">
      <c r="A341" s="553"/>
    </row>
    <row r="342" spans="1:1" s="536" customFormat="1" x14ac:dyDescent="0.35">
      <c r="A342" s="553"/>
    </row>
    <row r="343" spans="1:1" s="536" customFormat="1" x14ac:dyDescent="0.35">
      <c r="A343" s="553"/>
    </row>
  </sheetData>
  <sheetProtection selectLockedCells="1"/>
  <mergeCells count="46">
    <mergeCell ref="A17:A18"/>
    <mergeCell ref="B17:B18"/>
    <mergeCell ref="C17:C18"/>
    <mergeCell ref="D17:D18"/>
    <mergeCell ref="M17:M18"/>
    <mergeCell ref="A13:A14"/>
    <mergeCell ref="B13:B14"/>
    <mergeCell ref="C13:C14"/>
    <mergeCell ref="D13:D14"/>
    <mergeCell ref="M13:M14"/>
    <mergeCell ref="A15:A16"/>
    <mergeCell ref="B15:B16"/>
    <mergeCell ref="C15:C16"/>
    <mergeCell ref="D15:D16"/>
    <mergeCell ref="M15:M16"/>
    <mergeCell ref="A9:A10"/>
    <mergeCell ref="B9:B10"/>
    <mergeCell ref="C9:C10"/>
    <mergeCell ref="M9:M10"/>
    <mergeCell ref="A11:A12"/>
    <mergeCell ref="B11:B12"/>
    <mergeCell ref="C11:C12"/>
    <mergeCell ref="D11:D12"/>
    <mergeCell ref="M11:M12"/>
    <mergeCell ref="A5:A6"/>
    <mergeCell ref="B5:B6"/>
    <mergeCell ref="C5:C6"/>
    <mergeCell ref="D5:D6"/>
    <mergeCell ref="M5:M6"/>
    <mergeCell ref="A7:A8"/>
    <mergeCell ref="B7:B8"/>
    <mergeCell ref="C7:C8"/>
    <mergeCell ref="D7:D8"/>
    <mergeCell ref="M7:M8"/>
    <mergeCell ref="M1:M2"/>
    <mergeCell ref="A3:A4"/>
    <mergeCell ref="B3:B4"/>
    <mergeCell ref="C3:C4"/>
    <mergeCell ref="D3:D4"/>
    <mergeCell ref="M3:M4"/>
    <mergeCell ref="A1:A2"/>
    <mergeCell ref="B1:B2"/>
    <mergeCell ref="C1:C2"/>
    <mergeCell ref="D1:D2"/>
    <mergeCell ref="E1:I1"/>
    <mergeCell ref="J1:L1"/>
  </mergeCells>
  <pageMargins left="0.59055118110236227" right="0.59055118110236227" top="0.94488188976377963" bottom="0.86614173228346458" header="0.31496062992125984" footer="0.31496062992125984"/>
  <pageSetup scale="45" orientation="landscape" horizontalDpi="4294967293" r:id="rId1"/>
  <headerFooter>
    <oddHeader>&amp;L&amp;"Palatino Linotype,Negrita"&amp;18
Componente 9. Sostenibilidad ambiental
&amp;C&amp;"Palatino Linotype,Negrita"&amp;24Programa Fábricas de Productividad
&amp;20Guía para el diagnóstico general de la Empresa&amp;R&amp;G</oddHeader>
    <oddFooter>&amp;L&amp;"Palatino Linotype,Normal"&amp;G
&amp;"Palatino Linotype,Cursiva"© Colombia Productiva&amp;C&amp;"Palatino Linotype,Negrita"&amp;18&amp;G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1" manualBreakCount="1">
    <brk id="12" max="12" man="1"/>
  </rowBreaks>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DD32C-B715-483F-BDE8-41366F923ECC}">
  <sheetPr>
    <tabColor theme="4" tint="-0.249977111117893"/>
    <pageSetUpPr fitToPage="1"/>
  </sheetPr>
  <dimension ref="A1:N253"/>
  <sheetViews>
    <sheetView zoomScale="80" zoomScaleNormal="80" zoomScaleSheetLayoutView="73" zoomScalePageLayoutView="130" workbookViewId="0">
      <selection activeCell="L133" sqref="L133"/>
    </sheetView>
  </sheetViews>
  <sheetFormatPr baseColWidth="10" defaultColWidth="0" defaultRowHeight="18.649999999999999" customHeight="1" x14ac:dyDescent="0.35"/>
  <cols>
    <col min="1" max="1" width="9.54296875" style="284" customWidth="1"/>
    <col min="2" max="7" width="9.54296875" style="256" customWidth="1"/>
    <col min="8" max="8" width="4.54296875" style="256" customWidth="1"/>
    <col min="9" max="13" width="9.54296875" style="256" customWidth="1"/>
    <col min="14" max="14" width="12.54296875" style="256" customWidth="1"/>
    <col min="15" max="16383" width="0" style="256" hidden="1"/>
    <col min="16384" max="16384" width="14.1796875" style="256" customWidth="1"/>
  </cols>
  <sheetData>
    <row r="1" spans="1:14" ht="18.649999999999999" customHeight="1" x14ac:dyDescent="0.35">
      <c r="A1" s="255"/>
      <c r="B1" s="255"/>
      <c r="C1" s="255"/>
      <c r="D1" s="255"/>
      <c r="E1" s="255"/>
      <c r="F1" s="255"/>
      <c r="G1" s="255"/>
      <c r="H1" s="255"/>
      <c r="I1" s="255"/>
      <c r="J1" s="255"/>
      <c r="K1" s="255"/>
      <c r="L1" s="255"/>
      <c r="M1" s="255"/>
      <c r="N1" s="255"/>
    </row>
    <row r="2" spans="1:14" ht="18.649999999999999" customHeight="1" x14ac:dyDescent="0.35">
      <c r="A2" s="255"/>
      <c r="B2" s="255"/>
      <c r="C2" s="255"/>
      <c r="D2" s="255"/>
      <c r="E2" s="255"/>
      <c r="F2" s="255"/>
      <c r="G2" s="255"/>
      <c r="H2" s="255"/>
      <c r="I2" s="255"/>
      <c r="J2" s="255"/>
      <c r="K2" s="255"/>
      <c r="L2" s="255"/>
      <c r="M2" s="255"/>
      <c r="N2" s="255"/>
    </row>
    <row r="3" spans="1:14" ht="18.649999999999999" customHeight="1" x14ac:dyDescent="0.35">
      <c r="A3" s="255"/>
      <c r="B3" s="255"/>
      <c r="C3" s="255"/>
      <c r="D3" s="255"/>
      <c r="E3" s="255"/>
      <c r="F3" s="255"/>
      <c r="G3" s="255"/>
      <c r="H3" s="255"/>
      <c r="I3" s="681" t="s">
        <v>733</v>
      </c>
      <c r="J3" s="681"/>
      <c r="K3" s="681"/>
      <c r="L3" s="681"/>
      <c r="M3" s="681"/>
      <c r="N3" s="255"/>
    </row>
    <row r="4" spans="1:14" ht="18.649999999999999" customHeight="1" x14ac:dyDescent="0.35">
      <c r="A4" s="255"/>
      <c r="B4" s="255"/>
      <c r="C4" s="255"/>
      <c r="D4" s="255"/>
      <c r="E4" s="255"/>
      <c r="F4" s="255"/>
      <c r="G4" s="255"/>
      <c r="H4" s="255"/>
      <c r="I4" s="255"/>
      <c r="J4" s="255"/>
      <c r="K4" s="255"/>
      <c r="L4" s="255"/>
      <c r="M4" s="255"/>
      <c r="N4" s="255"/>
    </row>
    <row r="5" spans="1:14" ht="18.649999999999999" customHeight="1" x14ac:dyDescent="0.35">
      <c r="A5" s="255"/>
      <c r="B5" s="255"/>
      <c r="C5" s="255"/>
      <c r="D5" s="255"/>
      <c r="E5" s="255"/>
      <c r="F5" s="255"/>
      <c r="G5" s="255"/>
      <c r="H5" s="255"/>
      <c r="I5" s="255"/>
      <c r="J5" s="255"/>
      <c r="K5" s="255"/>
      <c r="L5" s="255"/>
      <c r="M5" s="255"/>
      <c r="N5" s="255"/>
    </row>
    <row r="6" spans="1:14" ht="19.899999999999999" customHeight="1" x14ac:dyDescent="0.35">
      <c r="A6" s="682" t="s">
        <v>734</v>
      </c>
      <c r="B6" s="684" t="s">
        <v>735</v>
      </c>
      <c r="C6" s="685"/>
      <c r="D6" s="685"/>
      <c r="E6" s="685"/>
      <c r="F6" s="685"/>
      <c r="G6" s="685"/>
      <c r="H6" s="685"/>
      <c r="I6" s="688" t="s">
        <v>736</v>
      </c>
      <c r="J6" s="689"/>
      <c r="K6" s="689"/>
      <c r="L6" s="689"/>
      <c r="M6" s="690"/>
      <c r="N6" s="691" t="s">
        <v>737</v>
      </c>
    </row>
    <row r="7" spans="1:14" ht="19.899999999999999" customHeight="1" x14ac:dyDescent="0.35">
      <c r="A7" s="683"/>
      <c r="B7" s="686"/>
      <c r="C7" s="687"/>
      <c r="D7" s="687"/>
      <c r="E7" s="687"/>
      <c r="F7" s="687"/>
      <c r="G7" s="687"/>
      <c r="H7" s="687"/>
      <c r="I7" s="257">
        <v>1</v>
      </c>
      <c r="J7" s="258">
        <v>2</v>
      </c>
      <c r="K7" s="259">
        <v>3</v>
      </c>
      <c r="L7" s="260">
        <v>4</v>
      </c>
      <c r="M7" s="261">
        <v>5</v>
      </c>
      <c r="N7" s="692"/>
    </row>
    <row r="8" spans="1:14" ht="18.649999999999999" customHeight="1" x14ac:dyDescent="0.35">
      <c r="A8" s="262" t="s">
        <v>738</v>
      </c>
      <c r="B8" s="657" t="s">
        <v>739</v>
      </c>
      <c r="C8" s="657"/>
      <c r="D8" s="657"/>
      <c r="E8" s="657"/>
      <c r="F8" s="657"/>
      <c r="G8" s="657"/>
      <c r="H8" s="670"/>
      <c r="I8" s="263"/>
      <c r="J8" s="264"/>
      <c r="K8" s="264"/>
      <c r="L8" s="264"/>
      <c r="M8" s="265"/>
      <c r="N8" s="266">
        <f>IFERROR(AVERAGEIF(I9:M14,"&lt;&gt;0",I9:M15),0)</f>
        <v>2.5</v>
      </c>
    </row>
    <row r="9" spans="1:14" ht="18.649999999999999" customHeight="1" x14ac:dyDescent="0.35">
      <c r="A9" s="267">
        <v>1</v>
      </c>
      <c r="B9" s="645" t="str">
        <f>'1'!B3</f>
        <v>Quién se comunica directamente con los clientes</v>
      </c>
      <c r="C9" s="645"/>
      <c r="D9" s="645"/>
      <c r="E9" s="645"/>
      <c r="F9" s="645"/>
      <c r="G9" s="645"/>
      <c r="H9" s="654"/>
      <c r="I9" s="268">
        <f>IF('1'!E$3&lt;&gt;"",'1'!E$2,0)</f>
        <v>0</v>
      </c>
      <c r="J9" s="268">
        <f>IF('1'!F$3&lt;&gt;"",'1'!F$2,0)</f>
        <v>0</v>
      </c>
      <c r="K9" s="268">
        <f>IF('1'!G$3&lt;&gt;"",'1'!G$2,0)</f>
        <v>0</v>
      </c>
      <c r="L9" s="268">
        <f>IF('1'!H$3&lt;&gt;"",'1'!H$2,0)</f>
        <v>0</v>
      </c>
      <c r="M9" s="268">
        <f>IF('1'!I$3&lt;&gt;"",'1'!I$2,0)</f>
        <v>0</v>
      </c>
      <c r="N9" s="269">
        <f>SUM(I9:M9)</f>
        <v>0</v>
      </c>
    </row>
    <row r="10" spans="1:14" ht="18.649999999999999" customHeight="1" x14ac:dyDescent="0.35">
      <c r="A10" s="267">
        <v>2</v>
      </c>
      <c r="B10" s="645" t="str">
        <f>'1'!B5</f>
        <v>Cómo se fijan los precios</v>
      </c>
      <c r="C10" s="645"/>
      <c r="D10" s="645"/>
      <c r="E10" s="645"/>
      <c r="F10" s="645"/>
      <c r="G10" s="645"/>
      <c r="H10" s="654"/>
      <c r="I10" s="268">
        <f>IF('1'!E$5&lt;&gt;"",'1'!E$2,0)</f>
        <v>0</v>
      </c>
      <c r="J10" s="268">
        <f>IF('1'!F$5&lt;&gt;"",'1'!F$2,0)</f>
        <v>0</v>
      </c>
      <c r="K10" s="268">
        <f>IF('1'!G$5&lt;&gt;"",'1'!G$2,0)</f>
        <v>0</v>
      </c>
      <c r="L10" s="268">
        <f>IF('1'!H$5&lt;&gt;"",'1'!H$2,0)</f>
        <v>0</v>
      </c>
      <c r="M10" s="268">
        <f>IF('1'!I$5&lt;&gt;"",'1'!I$2,0)</f>
        <v>0</v>
      </c>
      <c r="N10" s="269">
        <f t="shared" ref="N10:N14" si="0">SUM(I10:M10)</f>
        <v>0</v>
      </c>
    </row>
    <row r="11" spans="1:14" ht="18.649999999999999" customHeight="1" x14ac:dyDescent="0.35">
      <c r="A11" s="267">
        <v>3</v>
      </c>
      <c r="B11" s="679" t="str">
        <f>'1'!B7</f>
        <v>Crecimiento de las ventas</v>
      </c>
      <c r="C11" s="679"/>
      <c r="D11" s="679"/>
      <c r="E11" s="679"/>
      <c r="F11" s="679"/>
      <c r="G11" s="679"/>
      <c r="H11" s="680"/>
      <c r="I11" s="268">
        <f>IF('1'!E$11&lt;&gt;"",'1'!E$2,0)</f>
        <v>0</v>
      </c>
      <c r="J11" s="268">
        <f>IF('1'!F$11&lt;&gt;"",'1'!F$2,0)</f>
        <v>2</v>
      </c>
      <c r="K11" s="268">
        <f>IF('1'!G$11&lt;&gt;"",'1'!G$2,0)</f>
        <v>3</v>
      </c>
      <c r="L11" s="268">
        <f>IF('1'!H$11&lt;&gt;"",'1'!H$2,0)</f>
        <v>0</v>
      </c>
      <c r="M11" s="268">
        <f>IF('1'!I$11&lt;&gt;"",'1'!I$2,0)</f>
        <v>0</v>
      </c>
      <c r="N11" s="269">
        <f t="shared" si="0"/>
        <v>5</v>
      </c>
    </row>
    <row r="12" spans="1:14" ht="18.649999999999999" customHeight="1" x14ac:dyDescent="0.35">
      <c r="A12" s="267">
        <v>4</v>
      </c>
      <c r="B12" s="645" t="str">
        <f>'1'!B13</f>
        <v>Rentabilidad por cliente</v>
      </c>
      <c r="C12" s="645"/>
      <c r="D12" s="645"/>
      <c r="E12" s="645"/>
      <c r="F12" s="645"/>
      <c r="G12" s="645"/>
      <c r="H12" s="654"/>
      <c r="I12" s="268">
        <f>IF('1'!E$13&lt;&gt;"",'1'!E$2,0)</f>
        <v>0</v>
      </c>
      <c r="J12" s="268">
        <f>IF('1'!F$13&lt;&gt;"",'1'!F$2,0)</f>
        <v>0</v>
      </c>
      <c r="K12" s="268">
        <f>IF('1'!G$13&lt;&gt;"",'1'!G$2,0)</f>
        <v>0</v>
      </c>
      <c r="L12" s="268">
        <f>IF('1'!H$13&lt;&gt;"",'1'!H$2,0)</f>
        <v>0</v>
      </c>
      <c r="M12" s="268">
        <f>IF('1'!I$13&lt;&gt;"",'1'!I$2,0)</f>
        <v>0</v>
      </c>
      <c r="N12" s="269">
        <f t="shared" si="0"/>
        <v>0</v>
      </c>
    </row>
    <row r="13" spans="1:14" ht="18.649999999999999" customHeight="1" x14ac:dyDescent="0.35">
      <c r="A13" s="267">
        <v>5</v>
      </c>
      <c r="B13" s="645" t="str">
        <f>'1'!B15</f>
        <v>Valor generado por los clientes</v>
      </c>
      <c r="C13" s="645"/>
      <c r="D13" s="645"/>
      <c r="E13" s="645"/>
      <c r="F13" s="645"/>
      <c r="G13" s="645"/>
      <c r="H13" s="654"/>
      <c r="I13" s="268">
        <f>IF('1'!E$15&lt;&gt;"",'1'!E$2,0)</f>
        <v>0</v>
      </c>
      <c r="J13" s="268">
        <f>IF('1'!F$15&lt;&gt;"",'1'!F$2,0)</f>
        <v>0</v>
      </c>
      <c r="K13" s="268">
        <f>IF('1'!G$15&lt;&gt;"",'1'!G$2,0)</f>
        <v>0</v>
      </c>
      <c r="L13" s="268">
        <f>IF('1'!H$15&lt;&gt;"",'1'!H$2,0)</f>
        <v>0</v>
      </c>
      <c r="M13" s="268">
        <f>IF('1'!I$15&lt;&gt;"",'1'!I$2,0)</f>
        <v>0</v>
      </c>
      <c r="N13" s="269">
        <f t="shared" si="0"/>
        <v>0</v>
      </c>
    </row>
    <row r="14" spans="1:14" ht="18.649999999999999" customHeight="1" x14ac:dyDescent="0.35">
      <c r="A14" s="267">
        <v>6</v>
      </c>
      <c r="B14" s="645" t="str">
        <f>'1'!B17</f>
        <v>Plan de Mercadeo y Ventas</v>
      </c>
      <c r="C14" s="645"/>
      <c r="D14" s="645"/>
      <c r="E14" s="645"/>
      <c r="F14" s="645"/>
      <c r="G14" s="645"/>
      <c r="H14" s="654"/>
      <c r="I14" s="268">
        <f>IF('1'!E$17&lt;&gt;"",'1'!E$2,0)</f>
        <v>0</v>
      </c>
      <c r="J14" s="268">
        <f>IF('1'!F$17&lt;&gt;"",'1'!F$2,0)</f>
        <v>0</v>
      </c>
      <c r="K14" s="268">
        <f>IF('1'!G$17&lt;&gt;"",'1'!G$2,0)</f>
        <v>0</v>
      </c>
      <c r="L14" s="268">
        <f>IF('1'!H$17&lt;&gt;"",'1'!H$2,0)</f>
        <v>0</v>
      </c>
      <c r="M14" s="268">
        <f>IF('1'!I$17&lt;&gt;"",'1'!I$2,0)</f>
        <v>0</v>
      </c>
      <c r="N14" s="269">
        <f t="shared" si="0"/>
        <v>0</v>
      </c>
    </row>
    <row r="15" spans="1:14" ht="18.649999999999999" customHeight="1" x14ac:dyDescent="0.35">
      <c r="A15" s="270" t="s">
        <v>740</v>
      </c>
      <c r="B15" s="661" t="s">
        <v>741</v>
      </c>
      <c r="C15" s="662"/>
      <c r="D15" s="662"/>
      <c r="E15" s="662"/>
      <c r="F15" s="662"/>
      <c r="G15" s="662"/>
      <c r="H15" s="671"/>
      <c r="I15" s="271"/>
      <c r="J15" s="272"/>
      <c r="K15" s="272"/>
      <c r="L15" s="272"/>
      <c r="M15" s="273"/>
      <c r="N15" s="274">
        <f>AVERAGEIFS(N16:N38,N16:N38,"&lt;&gt;0")</f>
        <v>2</v>
      </c>
    </row>
    <row r="16" spans="1:14" ht="18.649999999999999" customHeight="1" x14ac:dyDescent="0.35">
      <c r="A16" s="275" t="s">
        <v>742</v>
      </c>
      <c r="B16" s="672" t="s">
        <v>743</v>
      </c>
      <c r="C16" s="673"/>
      <c r="D16" s="673"/>
      <c r="E16" s="673"/>
      <c r="F16" s="673"/>
      <c r="G16" s="673"/>
      <c r="H16" s="674"/>
      <c r="I16" s="276"/>
      <c r="J16" s="277"/>
      <c r="K16" s="277"/>
      <c r="L16" s="277"/>
      <c r="M16" s="278"/>
      <c r="N16" s="279">
        <f>IFERROR(AVERAGEIF(I17:M25,"&lt;&gt;0",I17:M25),0)</f>
        <v>2</v>
      </c>
    </row>
    <row r="17" spans="1:14" ht="18.649999999999999" customHeight="1" x14ac:dyDescent="0.35">
      <c r="A17" s="267">
        <v>1</v>
      </c>
      <c r="B17" s="676" t="str">
        <f>'2'!B4</f>
        <v>Tiempo de Ciclo</v>
      </c>
      <c r="C17" s="677"/>
      <c r="D17" s="677"/>
      <c r="E17" s="677"/>
      <c r="F17" s="677"/>
      <c r="G17" s="677"/>
      <c r="H17" s="678"/>
      <c r="I17" s="268">
        <f>IF('2'!E$4&lt;&gt;"",'2'!E$2,0)</f>
        <v>0</v>
      </c>
      <c r="J17" s="268">
        <f>IF('2'!F$4&lt;&gt;"",'2'!F$2,0)</f>
        <v>2</v>
      </c>
      <c r="K17" s="268">
        <f>IF('2'!G$4&lt;&gt;"",'2'!G$2,0)</f>
        <v>0</v>
      </c>
      <c r="L17" s="268">
        <f>IF('2'!H$4&lt;&gt;"",'2'!H$2,0)</f>
        <v>0</v>
      </c>
      <c r="M17" s="268">
        <f>IF('2'!I$4&lt;&gt;"",'2'!I$2,0)</f>
        <v>0</v>
      </c>
      <c r="N17" s="269">
        <f t="shared" ref="N17:N54" si="1">SUM(I17:M17)</f>
        <v>2</v>
      </c>
    </row>
    <row r="18" spans="1:14" ht="18.649999999999999" customHeight="1" x14ac:dyDescent="0.35">
      <c r="A18" s="280"/>
      <c r="B18" s="676"/>
      <c r="C18" s="677"/>
      <c r="D18" s="677"/>
      <c r="E18" s="677"/>
      <c r="F18" s="677"/>
      <c r="G18" s="677"/>
      <c r="H18" s="678"/>
      <c r="I18" s="268">
        <f>IF('2'!E$6&lt;&gt;"",'2'!E$2,0)</f>
        <v>0</v>
      </c>
      <c r="J18" s="268">
        <f>IF('2'!F$6&lt;&gt;"",'2'!F$2,0)</f>
        <v>0</v>
      </c>
      <c r="K18" s="268">
        <f>IF('2'!G$6&lt;&gt;"",'2'!G$2,0)</f>
        <v>0</v>
      </c>
      <c r="L18" s="268">
        <f>IF('2'!H$6&lt;&gt;"",'2'!H$2,0)</f>
        <v>0</v>
      </c>
      <c r="M18" s="268">
        <f>IF('2'!I$6&lt;&gt;"",'2'!I$2,0)</f>
        <v>0</v>
      </c>
      <c r="N18" s="269">
        <f t="shared" si="1"/>
        <v>0</v>
      </c>
    </row>
    <row r="19" spans="1:14" ht="18.649999999999999" customHeight="1" x14ac:dyDescent="0.35">
      <c r="A19" s="281"/>
      <c r="B19" s="676"/>
      <c r="C19" s="677"/>
      <c r="D19" s="677"/>
      <c r="E19" s="677"/>
      <c r="F19" s="677"/>
      <c r="G19" s="677"/>
      <c r="H19" s="678"/>
      <c r="I19" s="268">
        <f>IF('2'!E$8&lt;&gt;"",'2'!E$2,0)</f>
        <v>0</v>
      </c>
      <c r="J19" s="268">
        <f>IF('2'!F$8&lt;&gt;"",'2'!F$2,0)</f>
        <v>0</v>
      </c>
      <c r="K19" s="268">
        <f>IF('2'!G$8&lt;&gt;"",'2'!G$2,0)</f>
        <v>0</v>
      </c>
      <c r="L19" s="268">
        <f>IF('2'!H$8&lt;&gt;"",'2'!H$2,0)</f>
        <v>0</v>
      </c>
      <c r="M19" s="268">
        <f>IF('2'!I$8&lt;&gt;"",'2'!I$2,0)</f>
        <v>0</v>
      </c>
      <c r="N19" s="269">
        <f t="shared" si="1"/>
        <v>0</v>
      </c>
    </row>
    <row r="20" spans="1:14" ht="18.649999999999999" customHeight="1" x14ac:dyDescent="0.35">
      <c r="A20" s="267">
        <v>2</v>
      </c>
      <c r="B20" s="676" t="str">
        <f>'2'!B10</f>
        <v xml:space="preserve">Capacidad de reducción de costos </v>
      </c>
      <c r="C20" s="677"/>
      <c r="D20" s="677"/>
      <c r="E20" s="677"/>
      <c r="F20" s="677"/>
      <c r="G20" s="677"/>
      <c r="H20" s="678"/>
      <c r="I20" s="268">
        <f>IF('2'!E$10&lt;&gt;"",'2'!E$2,0)</f>
        <v>0</v>
      </c>
      <c r="J20" s="268">
        <f>IF('2'!F$10&lt;&gt;"",'2'!F$2,0)</f>
        <v>0</v>
      </c>
      <c r="K20" s="268">
        <f>IF('2'!G$10&lt;&gt;"",'2'!G$2,0)</f>
        <v>0</v>
      </c>
      <c r="L20" s="268">
        <f>IF('2'!H$10&lt;&gt;"",'2'!H$2,0)</f>
        <v>0</v>
      </c>
      <c r="M20" s="268">
        <f>IF('2'!I$10&lt;&gt;"",'2'!I$2,0)</f>
        <v>0</v>
      </c>
      <c r="N20" s="269">
        <f t="shared" si="1"/>
        <v>0</v>
      </c>
    </row>
    <row r="21" spans="1:14" ht="18.649999999999999" customHeight="1" x14ac:dyDescent="0.35">
      <c r="A21" s="267"/>
      <c r="B21" s="664"/>
      <c r="C21" s="665"/>
      <c r="D21" s="665"/>
      <c r="E21" s="665"/>
      <c r="F21" s="665"/>
      <c r="G21" s="665"/>
      <c r="H21" s="675"/>
      <c r="I21" s="268">
        <f>IF('2'!E$12 ="NA","NA",IF('2'!E$12&lt;&gt;"",'2'!E$2,0))</f>
        <v>0</v>
      </c>
      <c r="J21" s="282">
        <f>IF('2'!F$12 ="NA","NA",IF('2'!F$12&lt;&gt;"",'2'!F$2,0))</f>
        <v>0</v>
      </c>
      <c r="K21" s="282">
        <f>IF('2'!G$12 ="NA","NA",IF('2'!G$12&lt;&gt;"",'2'!G$2,0))</f>
        <v>0</v>
      </c>
      <c r="L21" s="282">
        <f>IF('2'!H$12 ="NA","NA",IF('2'!H$12&lt;&gt;"",'2'!H$2,0))</f>
        <v>0</v>
      </c>
      <c r="M21" s="283">
        <f>IF('2'!I$12 ="NA","NA",IF('2'!I$12&lt;&gt;"",'2'!I$2,0))</f>
        <v>0</v>
      </c>
      <c r="N21" s="269">
        <f t="shared" si="1"/>
        <v>0</v>
      </c>
    </row>
    <row r="22" spans="1:14" ht="18.649999999999999" customHeight="1" x14ac:dyDescent="0.35">
      <c r="A22" s="267">
        <v>3</v>
      </c>
      <c r="B22" s="676" t="str">
        <f>'2'!B14</f>
        <v>Nivel de variación de los costos</v>
      </c>
      <c r="C22" s="677"/>
      <c r="D22" s="677"/>
      <c r="E22" s="677"/>
      <c r="F22" s="677"/>
      <c r="G22" s="677"/>
      <c r="H22" s="678"/>
      <c r="I22" s="268">
        <f>IF('2'!E$14&lt;&gt;"",'2'!E$2,0)</f>
        <v>0</v>
      </c>
      <c r="J22" s="268">
        <f>IF('2'!F$14&lt;&gt;"",'2'!F$2,0)</f>
        <v>0</v>
      </c>
      <c r="K22" s="268">
        <f>IF('2'!G$14&lt;&gt;"",'2'!G$2,0)</f>
        <v>0</v>
      </c>
      <c r="L22" s="268">
        <f>IF('2'!H$14&lt;&gt;"",'2'!H$2,0)</f>
        <v>0</v>
      </c>
      <c r="M22" s="268">
        <f>IF('2'!I$14&lt;&gt;"",'2'!I$2,0)</f>
        <v>0</v>
      </c>
      <c r="N22" s="269">
        <f t="shared" si="1"/>
        <v>0</v>
      </c>
    </row>
    <row r="23" spans="1:14" ht="18.649999999999999" customHeight="1" x14ac:dyDescent="0.35">
      <c r="A23" s="267">
        <v>4</v>
      </c>
      <c r="B23" s="664" t="str">
        <f>'2'!B16</f>
        <v>Eficiencia General de los Equipos (OEE)</v>
      </c>
      <c r="C23" s="664"/>
      <c r="D23" s="664"/>
      <c r="E23" s="664"/>
      <c r="F23" s="664"/>
      <c r="G23" s="664"/>
      <c r="H23" s="664"/>
      <c r="I23" s="268">
        <f>IF('2'!E$16 ="NA","NA",IF('2'!E$16&lt;&gt;"",'2'!E$2,0))</f>
        <v>0</v>
      </c>
      <c r="J23" s="268">
        <f>IF('2'!F$16 ="NA","NA",IF('2'!F$16&lt;&gt;"",'2'!F$2,0))</f>
        <v>0</v>
      </c>
      <c r="K23" s="282">
        <f>IF('2'!G$16 ="NA","NA",IF('2'!G$16&lt;&gt;"",'2'!G$2,0))</f>
        <v>0</v>
      </c>
      <c r="L23" s="282">
        <f>IF('2'!H$16 ="NA","NA",IF('2'!H$16&lt;&gt;"",'2'!H$2,0))</f>
        <v>0</v>
      </c>
      <c r="M23" s="283">
        <f>IF('2'!I$16 ="NA","NA",IF('2'!I$16&lt;&gt;"",'2'!I$2,0))</f>
        <v>0</v>
      </c>
      <c r="N23" s="269">
        <f t="shared" si="1"/>
        <v>0</v>
      </c>
    </row>
    <row r="24" spans="1:14" ht="18.649999999999999" customHeight="1" x14ac:dyDescent="0.35">
      <c r="A24" s="267">
        <v>5</v>
      </c>
      <c r="B24" s="676" t="str">
        <f>'2'!B18</f>
        <v>Costos de improductividad /  No calidad</v>
      </c>
      <c r="C24" s="677"/>
      <c r="D24" s="677"/>
      <c r="E24" s="677"/>
      <c r="F24" s="677"/>
      <c r="G24" s="677"/>
      <c r="H24" s="678"/>
      <c r="I24" s="268">
        <f>IF('2'!E$18&lt;&gt;"",'2'!E$2,0)</f>
        <v>0</v>
      </c>
      <c r="J24" s="268">
        <f>IF('2'!F$18&lt;&gt;"",'2'!F$2,0)</f>
        <v>0</v>
      </c>
      <c r="K24" s="268">
        <f>IF('2'!G$18&lt;&gt;"",'2'!G$2,0)</f>
        <v>0</v>
      </c>
      <c r="L24" s="268">
        <f>IF('2'!H$18&lt;&gt;"",'2'!H$2,0)</f>
        <v>0</v>
      </c>
      <c r="M24" s="268">
        <f>IF('2'!I$18&lt;&gt;"",'2'!I$2,0)</f>
        <v>0</v>
      </c>
      <c r="N24" s="269">
        <f t="shared" si="1"/>
        <v>0</v>
      </c>
    </row>
    <row r="25" spans="1:14" ht="18.649999999999999" customHeight="1" x14ac:dyDescent="0.35">
      <c r="A25" s="284">
        <v>6</v>
      </c>
      <c r="B25" s="676" t="str">
        <f>'2'!B20</f>
        <v>Con qué frecuencia se celebran Eventos Kaizen</v>
      </c>
      <c r="C25" s="677"/>
      <c r="D25" s="677"/>
      <c r="E25" s="677"/>
      <c r="F25" s="677"/>
      <c r="G25" s="677"/>
      <c r="H25" s="678"/>
      <c r="I25" s="268">
        <f>IF('2'!E$20&lt;&gt;"",'2'!E$2,0)</f>
        <v>0</v>
      </c>
      <c r="J25" s="268">
        <f>IF('2'!F$20&lt;&gt;"",'2'!F$2,0)</f>
        <v>0</v>
      </c>
      <c r="K25" s="268">
        <f>IF('2'!G$20&lt;&gt;"",'2'!G$2,0)</f>
        <v>0</v>
      </c>
      <c r="L25" s="268">
        <f>IF('2'!H$20&lt;&gt;"",'2'!H$2,0)</f>
        <v>0</v>
      </c>
      <c r="M25" s="268">
        <f>IF('2'!I$20&lt;&gt;"",'2'!I$2,0)</f>
        <v>0</v>
      </c>
      <c r="N25" s="269">
        <f t="shared" si="1"/>
        <v>0</v>
      </c>
    </row>
    <row r="26" spans="1:14" ht="18.649999999999999" customHeight="1" x14ac:dyDescent="0.35">
      <c r="A26" s="275" t="s">
        <v>744</v>
      </c>
      <c r="B26" s="672" t="s">
        <v>745</v>
      </c>
      <c r="C26" s="673"/>
      <c r="D26" s="673"/>
      <c r="E26" s="673"/>
      <c r="F26" s="673"/>
      <c r="G26" s="673"/>
      <c r="H26" s="674"/>
      <c r="I26" s="276"/>
      <c r="J26" s="277"/>
      <c r="K26" s="277"/>
      <c r="L26" s="277"/>
      <c r="M26" s="278"/>
      <c r="N26" s="279">
        <f>IFERROR(AVERAGEIF(I27:M27,"&lt;&gt;0",I27:M27),0)</f>
        <v>0</v>
      </c>
    </row>
    <row r="27" spans="1:14" ht="18.649999999999999" customHeight="1" x14ac:dyDescent="0.35">
      <c r="A27" s="267">
        <v>6</v>
      </c>
      <c r="B27" s="676" t="str">
        <f>'2'!B23</f>
        <v>Nivel de mantenimiento  preventivo</v>
      </c>
      <c r="C27" s="677"/>
      <c r="D27" s="677"/>
      <c r="E27" s="677"/>
      <c r="F27" s="677"/>
      <c r="G27" s="677"/>
      <c r="H27" s="678"/>
      <c r="I27" s="268">
        <f>IF('2'!E$23&lt;&gt;"",'2'!E$2,0)</f>
        <v>0</v>
      </c>
      <c r="J27" s="268">
        <f>IF('2'!F$23&lt;&gt;"",'2'!F$2,0)</f>
        <v>0</v>
      </c>
      <c r="K27" s="268">
        <f>IF('2'!G$23&lt;&gt;"",'2'!G$2,0)</f>
        <v>0</v>
      </c>
      <c r="L27" s="268">
        <f>IF('2'!H$23&lt;&gt;"",'2'!H$2,0)</f>
        <v>0</v>
      </c>
      <c r="M27" s="268">
        <f>IF('2'!I$23&lt;&gt;"",'2'!I$2,0)</f>
        <v>0</v>
      </c>
      <c r="N27" s="269">
        <f t="shared" si="1"/>
        <v>0</v>
      </c>
    </row>
    <row r="28" spans="1:14" ht="18.649999999999999" customHeight="1" x14ac:dyDescent="0.35">
      <c r="A28" s="275" t="s">
        <v>746</v>
      </c>
      <c r="B28" s="672" t="s">
        <v>747</v>
      </c>
      <c r="C28" s="673"/>
      <c r="D28" s="673"/>
      <c r="E28" s="673"/>
      <c r="F28" s="673"/>
      <c r="G28" s="673"/>
      <c r="H28" s="674"/>
      <c r="I28" s="276"/>
      <c r="J28" s="277"/>
      <c r="K28" s="277"/>
      <c r="L28" s="277"/>
      <c r="M28" s="278"/>
      <c r="N28" s="279">
        <f>IFERROR(AVERAGEIF(I29:M30,"&lt;&gt;0",I29:M30),0)</f>
        <v>0</v>
      </c>
    </row>
    <row r="29" spans="1:14" ht="18.649999999999999" customHeight="1" x14ac:dyDescent="0.35">
      <c r="A29" s="267">
        <v>7</v>
      </c>
      <c r="B29" s="664" t="str">
        <f>'2'!B26</f>
        <v xml:space="preserve">Nivel de utilización del espacio de la planta y oficinas </v>
      </c>
      <c r="C29" s="665"/>
      <c r="D29" s="665"/>
      <c r="E29" s="665"/>
      <c r="F29" s="665"/>
      <c r="G29" s="665"/>
      <c r="H29" s="675"/>
      <c r="I29" s="268">
        <f>IF('2'!E$26 ="NA","NA",IF('2'!E$26&lt;&gt;"",'2'!E$2,0))</f>
        <v>0</v>
      </c>
      <c r="J29" s="282" t="str">
        <f>IF('2'!F$26 ="NA","NA",IF('2'!F$26&lt;&gt;"",'2'!F$2,0))</f>
        <v>NA</v>
      </c>
      <c r="K29" s="282">
        <f>IF('2'!G$26 ="NA","NA",IF('2'!G$26&lt;&gt;"",'2'!G$2,0))</f>
        <v>0</v>
      </c>
      <c r="L29" s="282">
        <f>IF('2'!H$26 ="NA","NA",IF('2'!H$26&lt;&gt;"",'2'!H$2,0))</f>
        <v>0</v>
      </c>
      <c r="M29" s="283">
        <f>IF('2'!I$26 ="NA","NA",IF('2'!I$26&lt;&gt;"",'2'!I$2,0))</f>
        <v>0</v>
      </c>
      <c r="N29" s="269">
        <f t="shared" si="1"/>
        <v>0</v>
      </c>
    </row>
    <row r="30" spans="1:14" ht="18.649999999999999" customHeight="1" x14ac:dyDescent="0.35">
      <c r="A30" s="267">
        <v>8</v>
      </c>
      <c r="B30" s="676" t="str">
        <f>'2'!B28</f>
        <v>Qué tanto se han implementado las 5S</v>
      </c>
      <c r="C30" s="677"/>
      <c r="D30" s="677"/>
      <c r="E30" s="677"/>
      <c r="F30" s="677"/>
      <c r="G30" s="677"/>
      <c r="H30" s="678"/>
      <c r="I30" s="268">
        <f>IF('2'!E$28&lt;&gt;"",'2'!E$2,0)</f>
        <v>0</v>
      </c>
      <c r="J30" s="268">
        <f>IF('2'!F$28&lt;&gt;"",'2'!F$2,0)</f>
        <v>0</v>
      </c>
      <c r="K30" s="268">
        <f>IF('2'!G$28&lt;&gt;"",'2'!G$2,0)</f>
        <v>0</v>
      </c>
      <c r="L30" s="268">
        <f>IF('2'!H$28&lt;&gt;"",'2'!H$2,0)</f>
        <v>0</v>
      </c>
      <c r="M30" s="268">
        <f>IF('2'!I$28&lt;&gt;"",'2'!I$2,0)</f>
        <v>0</v>
      </c>
      <c r="N30" s="269">
        <f t="shared" si="1"/>
        <v>0</v>
      </c>
    </row>
    <row r="31" spans="1:14" ht="18.649999999999999" customHeight="1" x14ac:dyDescent="0.35">
      <c r="A31" s="275" t="s">
        <v>748</v>
      </c>
      <c r="B31" s="672" t="s">
        <v>749</v>
      </c>
      <c r="C31" s="673"/>
      <c r="D31" s="673"/>
      <c r="E31" s="673"/>
      <c r="F31" s="673"/>
      <c r="G31" s="673"/>
      <c r="H31" s="674"/>
      <c r="I31" s="276"/>
      <c r="J31" s="277"/>
      <c r="K31" s="277"/>
      <c r="L31" s="277"/>
      <c r="M31" s="278"/>
      <c r="N31" s="279">
        <f>IFERROR(AVERAGEIF(I32:M32,"&lt;&gt;0",I32:M32),0)</f>
        <v>0</v>
      </c>
    </row>
    <row r="32" spans="1:14" ht="18.649999999999999" customHeight="1" x14ac:dyDescent="0.35">
      <c r="A32" s="267">
        <v>9</v>
      </c>
      <c r="B32" s="664" t="str">
        <f>'2'!B31</f>
        <v>Tiempo de alistamiento</v>
      </c>
      <c r="C32" s="665"/>
      <c r="D32" s="665"/>
      <c r="E32" s="665"/>
      <c r="F32" s="665"/>
      <c r="G32" s="665"/>
      <c r="H32" s="675"/>
      <c r="I32" s="268">
        <f>IF('2'!E$31 ="NA","NA",IF('2'!E$31&lt;&gt;"",'2'!E$2,0))</f>
        <v>0</v>
      </c>
      <c r="J32" s="282" t="str">
        <f>IF('2'!F$31 ="NA","NA",IF('2'!F$31&lt;&gt;"",'2'!F$2,0))</f>
        <v>NA</v>
      </c>
      <c r="K32" s="282">
        <f>IF('2'!G$31 ="NA","NA",IF('2'!G$31&lt;&gt;"",'2'!G$2,0))</f>
        <v>0</v>
      </c>
      <c r="L32" s="282">
        <f>IF('2'!H$31 ="NA","NA",IF('2'!H$31&lt;&gt;"",'2'!H$2,0))</f>
        <v>0</v>
      </c>
      <c r="M32" s="283">
        <f>IF('2'!I$31 ="NA","NA",IF('2'!I$31&lt;&gt;"",'2'!I$2,0))</f>
        <v>0</v>
      </c>
      <c r="N32" s="269">
        <f t="shared" si="1"/>
        <v>0</v>
      </c>
    </row>
    <row r="33" spans="1:14" ht="18.649999999999999" customHeight="1" x14ac:dyDescent="0.35">
      <c r="A33" s="275" t="s">
        <v>750</v>
      </c>
      <c r="B33" s="672" t="s">
        <v>751</v>
      </c>
      <c r="C33" s="673"/>
      <c r="D33" s="673"/>
      <c r="E33" s="673"/>
      <c r="F33" s="673"/>
      <c r="G33" s="673"/>
      <c r="H33" s="674"/>
      <c r="I33" s="276"/>
      <c r="J33" s="277"/>
      <c r="K33" s="277"/>
      <c r="L33" s="277"/>
      <c r="M33" s="278"/>
      <c r="N33" s="279">
        <f>IFERROR(AVERAGEIF(I34:M38,"&lt;&gt;0",I34:M38),0)</f>
        <v>0</v>
      </c>
    </row>
    <row r="34" spans="1:14" ht="18.649999999999999" customHeight="1" x14ac:dyDescent="0.35">
      <c r="A34" s="267">
        <v>10</v>
      </c>
      <c r="B34" s="664" t="str">
        <f>'2'!B34</f>
        <v>Nivel de rotación</v>
      </c>
      <c r="C34" s="665"/>
      <c r="D34" s="665"/>
      <c r="E34" s="665"/>
      <c r="F34" s="665"/>
      <c r="G34" s="665"/>
      <c r="H34" s="675"/>
      <c r="I34" s="268">
        <f>IF('2'!E$34 ="NA","NA",IF('2'!E$34&lt;&gt;"",'2'!E$2,0))</f>
        <v>0</v>
      </c>
      <c r="J34" s="282" t="str">
        <f>IF('2'!F$34 ="NA","NA",IF('2'!F$34&lt;&gt;"",'2'!F$2,0))</f>
        <v>NA</v>
      </c>
      <c r="K34" s="282">
        <f>IF('2'!G$34 ="NA","NA",IF('2'!G$34&lt;&gt;"",'2'!G$2,0))</f>
        <v>0</v>
      </c>
      <c r="L34" s="282">
        <f>IF('2'!H$34 ="NA","NA",IF('2'!H$34&lt;&gt;"",'2'!H$2,0))</f>
        <v>0</v>
      </c>
      <c r="M34" s="283">
        <f>IF('2'!I$34 ="NA","NA",IF('2'!I$34&lt;&gt;"",'2'!I$2,0))</f>
        <v>0</v>
      </c>
      <c r="N34" s="269">
        <f t="shared" si="1"/>
        <v>0</v>
      </c>
    </row>
    <row r="35" spans="1:14" ht="18.649999999999999" customHeight="1" x14ac:dyDescent="0.35">
      <c r="A35" s="267">
        <v>11</v>
      </c>
      <c r="B35" s="664" t="str">
        <f>'2'!B36</f>
        <v>Cantidad de proveedores estratégicos o aliados por tipo de materia prima</v>
      </c>
      <c r="C35" s="665"/>
      <c r="D35" s="665"/>
      <c r="E35" s="665"/>
      <c r="F35" s="665"/>
      <c r="G35" s="665"/>
      <c r="H35" s="675"/>
      <c r="I35" s="268">
        <f>IF('2'!E$36 ="NA","NA",IF('2'!E$36&lt;&gt;"",'2'!E$2,0))</f>
        <v>0</v>
      </c>
      <c r="J35" s="282" t="str">
        <f>IF('2'!F$36 ="NA","NA",IF('2'!F$36&lt;&gt;"",'2'!F$2,0))</f>
        <v>NA</v>
      </c>
      <c r="K35" s="282">
        <f>IF('2'!G$36 ="NA","NA",IF('2'!G$36&lt;&gt;"",'2'!G$2,0))</f>
        <v>0</v>
      </c>
      <c r="L35" s="282">
        <f>IF('2'!H$36 ="NA","NA",IF('2'!H$36&lt;&gt;"",'2'!H$2,0))</f>
        <v>0</v>
      </c>
      <c r="M35" s="283">
        <f>IF('2'!I$36 ="NA","NA",IF('2'!I$36&lt;&gt;"",'2'!I$2,0))</f>
        <v>0</v>
      </c>
      <c r="N35" s="269">
        <f t="shared" si="1"/>
        <v>0</v>
      </c>
    </row>
    <row r="36" spans="1:14" ht="18.649999999999999" customHeight="1" x14ac:dyDescent="0.35">
      <c r="A36" s="267">
        <v>12</v>
      </c>
      <c r="B36" s="664" t="str">
        <f>'2'!B38</f>
        <v>Nivel de reabastecimiento</v>
      </c>
      <c r="C36" s="665"/>
      <c r="D36" s="665"/>
      <c r="E36" s="665"/>
      <c r="F36" s="665"/>
      <c r="G36" s="665"/>
      <c r="H36" s="675"/>
      <c r="I36" s="268">
        <f>IF('2'!E$38 ="NA","NA",IF('2'!E$38&lt;&gt;"",'2'!E$2,0))</f>
        <v>0</v>
      </c>
      <c r="J36" s="282" t="str">
        <f>IF('2'!F$38 ="NA","NA",IF('2'!F$38&lt;&gt;"",'2'!F$2,0))</f>
        <v>NA</v>
      </c>
      <c r="K36" s="282">
        <f>IF('2'!G$38 ="NA","NA",IF('2'!G$38&lt;&gt;"",'2'!G$2,0))</f>
        <v>0</v>
      </c>
      <c r="L36" s="282">
        <f>IF('2'!H$38 ="NA","NA",IF('2'!H$38&lt;&gt;"",'2'!H$2,0))</f>
        <v>0</v>
      </c>
      <c r="M36" s="283">
        <f>IF('2'!I$38 ="NA","NA",IF('2'!I$38&lt;&gt;"",'2'!I$2,0))</f>
        <v>0</v>
      </c>
      <c r="N36" s="269">
        <f t="shared" si="1"/>
        <v>0</v>
      </c>
    </row>
    <row r="37" spans="1:14" ht="18.649999999999999" customHeight="1" x14ac:dyDescent="0.35">
      <c r="A37" s="267">
        <v>13</v>
      </c>
      <c r="B37" s="664" t="str">
        <f>'2'!B41</f>
        <v>Nivel del Pull System</v>
      </c>
      <c r="C37" s="665"/>
      <c r="D37" s="665"/>
      <c r="E37" s="665"/>
      <c r="F37" s="665"/>
      <c r="G37" s="665"/>
      <c r="H37" s="675"/>
      <c r="I37" s="268">
        <f>IF('2'!E$41 ="NA","NA",IF('2'!E$41&lt;&gt;"",'2'!E$2,0))</f>
        <v>0</v>
      </c>
      <c r="J37" s="282" t="str">
        <f>IF('2'!F$41 ="NA","NA",IF('2'!F$41&lt;&gt;"",'2'!F$2,0))</f>
        <v>NA</v>
      </c>
      <c r="K37" s="282">
        <f>IF('2'!G$41 ="NA","NA",IF('2'!G$41&lt;&gt;"",'2'!G$2,0))</f>
        <v>0</v>
      </c>
      <c r="L37" s="282">
        <f>IF('2'!H$41 ="NA","NA",IF('2'!H$41&lt;&gt;"",'2'!H$2,0))</f>
        <v>0</v>
      </c>
      <c r="M37" s="283">
        <f>IF('2'!I$41 ="NA","NA",IF('2'!I$41&lt;&gt;"",'2'!I$2,0))</f>
        <v>0</v>
      </c>
      <c r="N37" s="269">
        <f t="shared" si="1"/>
        <v>0</v>
      </c>
    </row>
    <row r="38" spans="1:14" ht="18.649999999999999" customHeight="1" x14ac:dyDescent="0.35">
      <c r="A38" s="267">
        <v>14</v>
      </c>
      <c r="B38" s="664" t="str">
        <f>'2'!B43</f>
        <v>Frecuencia del aprovisionamiento</v>
      </c>
      <c r="C38" s="665"/>
      <c r="D38" s="665"/>
      <c r="E38" s="665"/>
      <c r="F38" s="665"/>
      <c r="G38" s="665"/>
      <c r="H38" s="675"/>
      <c r="I38" s="268">
        <f>IF('2'!E$43 ="NA","NA",IF('2'!E$43&lt;&gt;"",'2'!E$2,0))</f>
        <v>0</v>
      </c>
      <c r="J38" s="282" t="str">
        <f>IF('2'!F$43 ="NA","NA",IF('2'!F$43&lt;&gt;"",'2'!F$2,0))</f>
        <v>NA</v>
      </c>
      <c r="K38" s="282">
        <f>IF('2'!G$43 ="NA","NA",IF('2'!G$43&lt;&gt;"",'2'!G$2,0))</f>
        <v>0</v>
      </c>
      <c r="L38" s="282">
        <f>IF('2'!H$43 ="NA","NA",IF('2'!H$43&lt;&gt;"",'2'!H$2,0))</f>
        <v>0</v>
      </c>
      <c r="M38" s="283">
        <f>IF('2'!I$43 ="NA","NA",IF('2'!I$43&lt;&gt;"",'2'!I$2,0))</f>
        <v>0</v>
      </c>
      <c r="N38" s="269">
        <f t="shared" si="1"/>
        <v>0</v>
      </c>
    </row>
    <row r="39" spans="1:14" ht="17" x14ac:dyDescent="0.35">
      <c r="A39" s="270" t="s">
        <v>752</v>
      </c>
      <c r="B39" s="661" t="s">
        <v>211</v>
      </c>
      <c r="C39" s="662"/>
      <c r="D39" s="662"/>
      <c r="E39" s="662"/>
      <c r="F39" s="662"/>
      <c r="G39" s="662"/>
      <c r="H39" s="671"/>
      <c r="I39" s="271"/>
      <c r="J39" s="272"/>
      <c r="K39" s="272"/>
      <c r="L39" s="272"/>
      <c r="M39" s="273"/>
      <c r="N39" s="274">
        <f>IFERROR(AVERAGEIF(I40:M54,"&lt;&gt;0",I40:M54),0)</f>
        <v>0</v>
      </c>
    </row>
    <row r="40" spans="1:14" ht="30" customHeight="1" x14ac:dyDescent="0.35">
      <c r="A40" s="267">
        <v>1</v>
      </c>
      <c r="B40" s="654" t="str">
        <f>'3'!B3</f>
        <v>Productividad laboral</v>
      </c>
      <c r="C40" s="655"/>
      <c r="D40" s="655"/>
      <c r="E40" s="655"/>
      <c r="F40" s="655"/>
      <c r="G40" s="655"/>
      <c r="H40" s="668"/>
      <c r="I40" s="268">
        <f>IF('3'!E$3&lt;&gt;"",'3'!E$2,0)</f>
        <v>0</v>
      </c>
      <c r="J40" s="282">
        <f>IF('3'!F$3&lt;&gt;"",'3'!F$2,0)</f>
        <v>0</v>
      </c>
      <c r="K40" s="282">
        <f>IF('3'!G$3&lt;&gt;"",'3'!G$2,0)</f>
        <v>0</v>
      </c>
      <c r="L40" s="282">
        <f>IF('3'!H$3&lt;&gt;"",'3'!H$2,0)</f>
        <v>0</v>
      </c>
      <c r="M40" s="283">
        <f>IF('3'!I$3&lt;&gt;"",'3'!I$2,0)</f>
        <v>0</v>
      </c>
      <c r="N40" s="269">
        <f t="shared" si="1"/>
        <v>0</v>
      </c>
    </row>
    <row r="41" spans="1:14" ht="18.649999999999999" customHeight="1" x14ac:dyDescent="0.35">
      <c r="A41" s="267"/>
      <c r="B41" s="654"/>
      <c r="C41" s="655"/>
      <c r="D41" s="655"/>
      <c r="E41" s="655"/>
      <c r="F41" s="655"/>
      <c r="G41" s="655"/>
      <c r="H41" s="668"/>
      <c r="I41" s="268">
        <f>IF('3'!E$5&lt;&gt;"",'3'!E$2,0)</f>
        <v>0</v>
      </c>
      <c r="J41" s="282">
        <f>IF('3'!F$5&lt;&gt;"",'3'!F$2,0)</f>
        <v>0</v>
      </c>
      <c r="K41" s="282">
        <f>IF('3'!G$5&lt;&gt;"",'3'!G$2,0)</f>
        <v>0</v>
      </c>
      <c r="L41" s="282">
        <f>IF('3'!H$5&lt;&gt;"",'3'!H$2,0)</f>
        <v>0</v>
      </c>
      <c r="M41" s="283">
        <f>IF('3'!I$5&lt;&gt;"",'3'!I$2,0)</f>
        <v>0</v>
      </c>
      <c r="N41" s="269">
        <f t="shared" si="1"/>
        <v>0</v>
      </c>
    </row>
    <row r="42" spans="1:14" ht="18.649999999999999" customHeight="1" x14ac:dyDescent="0.35">
      <c r="A42" s="267">
        <v>2</v>
      </c>
      <c r="B42" s="654" t="str">
        <f>'3'!B7</f>
        <v>Participación</v>
      </c>
      <c r="C42" s="655"/>
      <c r="D42" s="655"/>
      <c r="E42" s="655"/>
      <c r="F42" s="655"/>
      <c r="G42" s="655"/>
      <c r="H42" s="668"/>
      <c r="I42" s="268">
        <f>IF('3'!E$7&lt;&gt;"",'3'!E$2,0)</f>
        <v>0</v>
      </c>
      <c r="J42" s="282">
        <f>IF('3'!F$7&lt;&gt;"",'3'!F$2,0)</f>
        <v>0</v>
      </c>
      <c r="K42" s="282">
        <f>IF('3'!G$7&lt;&gt;"",'3'!G$2,0)</f>
        <v>0</v>
      </c>
      <c r="L42" s="282">
        <f>IF('3'!H$7&lt;&gt;"",'3'!H$2,0)</f>
        <v>0</v>
      </c>
      <c r="M42" s="283">
        <f>IF('3'!I$7&lt;&gt;"",'3'!I$2,0)</f>
        <v>0</v>
      </c>
      <c r="N42" s="269">
        <f t="shared" si="1"/>
        <v>0</v>
      </c>
    </row>
    <row r="43" spans="1:14" ht="18.649999999999999" customHeight="1" x14ac:dyDescent="0.35">
      <c r="A43" s="267"/>
      <c r="B43" s="654"/>
      <c r="C43" s="655"/>
      <c r="D43" s="655"/>
      <c r="E43" s="655"/>
      <c r="F43" s="655"/>
      <c r="G43" s="655"/>
      <c r="H43" s="668"/>
      <c r="I43" s="268">
        <f>IF('3'!E$9&lt;&gt;"",'3'!E$2,0)</f>
        <v>0</v>
      </c>
      <c r="J43" s="282">
        <f>IF('3'!F$9&lt;&gt;"",'3'!F$2,0)</f>
        <v>0</v>
      </c>
      <c r="K43" s="282">
        <f>IF('3'!G$9&lt;&gt;"",'3'!G$2,0)</f>
        <v>0</v>
      </c>
      <c r="L43" s="282">
        <f>IF('3'!H$9&lt;&gt;"",'3'!H$2,0)</f>
        <v>0</v>
      </c>
      <c r="M43" s="283">
        <f>IF('3'!I$9&lt;&gt;"",'3'!I$2,0)</f>
        <v>0</v>
      </c>
      <c r="N43" s="269">
        <f t="shared" si="1"/>
        <v>0</v>
      </c>
    </row>
    <row r="44" spans="1:14" ht="18.649999999999999" customHeight="1" x14ac:dyDescent="0.35">
      <c r="A44" s="267">
        <v>3</v>
      </c>
      <c r="B44" s="654" t="str">
        <f>'3'!B11</f>
        <v>Índice de rotación de personal</v>
      </c>
      <c r="C44" s="655"/>
      <c r="D44" s="655"/>
      <c r="E44" s="655"/>
      <c r="F44" s="655"/>
      <c r="G44" s="655"/>
      <c r="H44" s="668"/>
      <c r="I44" s="268">
        <f>IF('3'!E$11&lt;&gt;"",'3'!E$2,0)</f>
        <v>0</v>
      </c>
      <c r="J44" s="282">
        <f>IF('3'!F$11&lt;&gt;"",'3'!F$2,0)</f>
        <v>0</v>
      </c>
      <c r="K44" s="282">
        <f>IF('3'!G$11&lt;&gt;"",'3'!G$2,0)</f>
        <v>0</v>
      </c>
      <c r="L44" s="282">
        <f>IF('3'!H$11&lt;&gt;"",'3'!H$2,0)</f>
        <v>0</v>
      </c>
      <c r="M44" s="283">
        <f>IF('3'!I$11&lt;&gt;"",'3'!I$2,0)</f>
        <v>0</v>
      </c>
      <c r="N44" s="269">
        <f t="shared" si="1"/>
        <v>0</v>
      </c>
    </row>
    <row r="45" spans="1:14" ht="18.649999999999999" customHeight="1" x14ac:dyDescent="0.35">
      <c r="A45" s="267">
        <v>4</v>
      </c>
      <c r="B45" s="654" t="str">
        <f>'3'!B13</f>
        <v>Índice de ausentismo</v>
      </c>
      <c r="C45" s="655"/>
      <c r="D45" s="655"/>
      <c r="E45" s="655"/>
      <c r="F45" s="655"/>
      <c r="G45" s="655"/>
      <c r="H45" s="668"/>
      <c r="I45" s="268">
        <f>IF('3'!E$13&lt;&gt;"",'3'!E$2,0)</f>
        <v>0</v>
      </c>
      <c r="J45" s="282">
        <f>IF('3'!F$13&lt;&gt;"",'3'!F$2,0)</f>
        <v>0</v>
      </c>
      <c r="K45" s="282">
        <f>IF('3'!G$13&lt;&gt;"",'3'!G$2,0)</f>
        <v>0</v>
      </c>
      <c r="L45" s="282">
        <f>IF('3'!H$13&lt;&gt;"",'3'!H$2,0)</f>
        <v>0</v>
      </c>
      <c r="M45" s="283">
        <f>IF('3'!I$13&lt;&gt;"",'3'!I$2,0)</f>
        <v>0</v>
      </c>
      <c r="N45" s="269">
        <f t="shared" si="1"/>
        <v>0</v>
      </c>
    </row>
    <row r="46" spans="1:14" ht="18.649999999999999" customHeight="1" x14ac:dyDescent="0.35">
      <c r="A46" s="267">
        <v>5</v>
      </c>
      <c r="B46" s="654" t="str">
        <f>'3'!B15</f>
        <v>Nivel  de horas extras</v>
      </c>
      <c r="C46" s="655"/>
      <c r="D46" s="655"/>
      <c r="E46" s="655"/>
      <c r="F46" s="655"/>
      <c r="G46" s="655"/>
      <c r="H46" s="668"/>
      <c r="I46" s="268">
        <f>IF('3'!E$15&lt;&gt;"",'3'!E$2,0)</f>
        <v>0</v>
      </c>
      <c r="J46" s="282">
        <f>IF('3'!F$15&lt;&gt;"",'3'!F$2,0)</f>
        <v>0</v>
      </c>
      <c r="K46" s="282">
        <f>IF('3'!G$15&lt;&gt;"",'3'!G$2,0)</f>
        <v>0</v>
      </c>
      <c r="L46" s="282">
        <f>IF('3'!H$15&lt;&gt;"",'3'!H$2,0)</f>
        <v>0</v>
      </c>
      <c r="M46" s="283">
        <f>IF('3'!I$15&lt;&gt;"",'3'!I$2,0)</f>
        <v>0</v>
      </c>
      <c r="N46" s="269">
        <f t="shared" si="1"/>
        <v>0</v>
      </c>
    </row>
    <row r="47" spans="1:14" ht="18.649999999999999" customHeight="1" x14ac:dyDescent="0.35">
      <c r="A47" s="267">
        <v>6</v>
      </c>
      <c r="B47" s="654" t="str">
        <f>'3'!B17</f>
        <v>Entrenamiento</v>
      </c>
      <c r="C47" s="655"/>
      <c r="D47" s="655"/>
      <c r="E47" s="655"/>
      <c r="F47" s="655"/>
      <c r="G47" s="655"/>
      <c r="H47" s="668"/>
      <c r="I47" s="268">
        <f>IF('3'!E$17&lt;&gt;"",'3'!E$2,0)</f>
        <v>0</v>
      </c>
      <c r="J47" s="282">
        <f>IF('3'!F$17&lt;&gt;"",'3'!F$2,0)</f>
        <v>0</v>
      </c>
      <c r="K47" s="282">
        <f>IF('3'!G$17&lt;&gt;"",'3'!G$2,0)</f>
        <v>0</v>
      </c>
      <c r="L47" s="282">
        <f>IF('3'!H$17&lt;&gt;"",'3'!H$2,0)</f>
        <v>0</v>
      </c>
      <c r="M47" s="283">
        <f>IF('3'!I$17&lt;&gt;"",'3'!I$2,0)</f>
        <v>0</v>
      </c>
      <c r="N47" s="269">
        <f t="shared" si="1"/>
        <v>0</v>
      </c>
    </row>
    <row r="48" spans="1:14" ht="18.649999999999999" customHeight="1" x14ac:dyDescent="0.35">
      <c r="A48" s="267">
        <v>7</v>
      </c>
      <c r="B48" s="654" t="str">
        <f>'3'!B19</f>
        <v>Entrenamiento</v>
      </c>
      <c r="C48" s="655"/>
      <c r="D48" s="655"/>
      <c r="E48" s="655"/>
      <c r="F48" s="655"/>
      <c r="G48" s="655"/>
      <c r="H48" s="668"/>
      <c r="I48" s="268">
        <f>IF('3'!E$19&lt;&gt;"",'3'!E$2,0)</f>
        <v>0</v>
      </c>
      <c r="J48" s="282">
        <f>IF('3'!F$19&lt;&gt;"",'3'!F$2,0)</f>
        <v>0</v>
      </c>
      <c r="K48" s="282">
        <f>IF('3'!G$19&lt;&gt;"",'3'!G$2,0)</f>
        <v>0</v>
      </c>
      <c r="L48" s="282">
        <f>IF('3'!H$19&lt;&gt;"",'3'!H$2,0)</f>
        <v>0</v>
      </c>
      <c r="M48" s="283">
        <f>IF('3'!I$19&lt;&gt;"",'3'!I$2,0)</f>
        <v>0</v>
      </c>
      <c r="N48" s="269">
        <f t="shared" si="1"/>
        <v>0</v>
      </c>
    </row>
    <row r="49" spans="1:14" ht="18.649999999999999" customHeight="1" x14ac:dyDescent="0.35">
      <c r="A49" s="281">
        <v>8</v>
      </c>
      <c r="B49" s="654" t="str">
        <f>'3'!B21</f>
        <v>Accidentalidad</v>
      </c>
      <c r="C49" s="655"/>
      <c r="D49" s="655"/>
      <c r="E49" s="655"/>
      <c r="F49" s="655"/>
      <c r="G49" s="655"/>
      <c r="H49" s="668"/>
      <c r="I49" s="285">
        <f>IF('3'!E$21&lt;&gt;"",'3'!E$2,0)</f>
        <v>0</v>
      </c>
      <c r="J49" s="286">
        <f>IF('3'!F$21&lt;&gt;"",'3'!F$2,0)</f>
        <v>0</v>
      </c>
      <c r="K49" s="286">
        <f>IF('3'!G$21&lt;&gt;"",'3'!G$2,0)</f>
        <v>0</v>
      </c>
      <c r="L49" s="286">
        <f>IF('3'!H$21&lt;&gt;"",'3'!H$2,0)</f>
        <v>0</v>
      </c>
      <c r="M49" s="287">
        <f>IF('3'!I$21&lt;&gt;"",'3'!I$2,0)</f>
        <v>0</v>
      </c>
      <c r="N49" s="269">
        <f t="shared" si="1"/>
        <v>0</v>
      </c>
    </row>
    <row r="50" spans="1:14" ht="18.649999999999999" customHeight="1" x14ac:dyDescent="0.35">
      <c r="A50" s="267">
        <v>9</v>
      </c>
      <c r="B50" s="654" t="str">
        <f>'3'!B23</f>
        <v>Gestión del riego de accidentalidad</v>
      </c>
      <c r="C50" s="655"/>
      <c r="D50" s="655"/>
      <c r="E50" s="655"/>
      <c r="F50" s="655"/>
      <c r="G50" s="655"/>
      <c r="H50" s="668"/>
      <c r="I50" s="268">
        <f>IF('3'!E$23&lt;&gt;"",'3'!E$2,0)</f>
        <v>0</v>
      </c>
      <c r="J50" s="282">
        <f>IF('3'!F$23&lt;&gt;"",'3'!F$2,0)</f>
        <v>0</v>
      </c>
      <c r="K50" s="282">
        <f>IF('3'!G$23&lt;&gt;"",'3'!G$2,0)</f>
        <v>0</v>
      </c>
      <c r="L50" s="282">
        <f>IF('3'!H$23&lt;&gt;"",'3'!H$2,0)</f>
        <v>0</v>
      </c>
      <c r="M50" s="283">
        <f>IF('3'!I$23&lt;&gt;"",'3'!I$2,0)</f>
        <v>0</v>
      </c>
      <c r="N50" s="269">
        <f t="shared" si="1"/>
        <v>0</v>
      </c>
    </row>
    <row r="51" spans="1:14" ht="18.649999999999999" customHeight="1" x14ac:dyDescent="0.35">
      <c r="A51" s="267">
        <v>10</v>
      </c>
      <c r="B51" s="654" t="str">
        <f>'3'!B25</f>
        <v>Eficiencia General de las Personas (EGP)</v>
      </c>
      <c r="C51" s="655"/>
      <c r="D51" s="655"/>
      <c r="E51" s="655"/>
      <c r="F51" s="655"/>
      <c r="G51" s="655"/>
      <c r="H51" s="668"/>
      <c r="I51" s="268">
        <f>IF('3'!E$25&lt;&gt;"",'3'!E$2,0)</f>
        <v>0</v>
      </c>
      <c r="J51" s="282">
        <f>IF('3'!F$25&lt;&gt;"",'3'!F$2,0)</f>
        <v>0</v>
      </c>
      <c r="K51" s="282">
        <f>IF('3'!G$25&lt;&gt;"",'3'!G$2,0)</f>
        <v>0</v>
      </c>
      <c r="L51" s="282">
        <f>IF('3'!H$25&lt;&gt;"",'3'!H$2,0)</f>
        <v>0</v>
      </c>
      <c r="M51" s="283">
        <f>IF('3'!I$25&lt;&gt;"",'3'!I$2,0)</f>
        <v>0</v>
      </c>
      <c r="N51" s="269">
        <f t="shared" si="1"/>
        <v>0</v>
      </c>
    </row>
    <row r="52" spans="1:14" ht="18.649999999999999" customHeight="1" x14ac:dyDescent="0.35">
      <c r="A52" s="267">
        <v>11</v>
      </c>
      <c r="B52" s="654" t="s">
        <v>297</v>
      </c>
      <c r="C52" s="655"/>
      <c r="D52" s="655"/>
      <c r="E52" s="655"/>
      <c r="F52" s="655"/>
      <c r="G52" s="655"/>
      <c r="H52" s="668"/>
      <c r="I52" s="268">
        <f>IF('3'!E$27&lt;&gt;"",'3'!E$2,0)</f>
        <v>0</v>
      </c>
      <c r="J52" s="282">
        <f>IF('3'!F$27&lt;&gt;"",'3'!F$2,0)</f>
        <v>0</v>
      </c>
      <c r="K52" s="282">
        <f>IF('3'!G$27&lt;&gt;"",'3'!G$2,0)</f>
        <v>0</v>
      </c>
      <c r="L52" s="282">
        <f>IF('3'!H$27&lt;&gt;"",'3'!H$2,0)</f>
        <v>0</v>
      </c>
      <c r="M52" s="283">
        <f>IF('3'!I$27&lt;&gt;"",'3'!I$2,0)</f>
        <v>0</v>
      </c>
      <c r="N52" s="269">
        <f t="shared" si="1"/>
        <v>0</v>
      </c>
    </row>
    <row r="53" spans="1:14" ht="18.649999999999999" customHeight="1" x14ac:dyDescent="0.35">
      <c r="A53" s="267">
        <v>12</v>
      </c>
      <c r="B53" s="786" t="str">
        <f>'3'!B29</f>
        <v>Desarrollo por competencias y polivalencia</v>
      </c>
      <c r="C53" s="788"/>
      <c r="D53" s="788"/>
      <c r="E53" s="788"/>
      <c r="F53" s="788"/>
      <c r="G53" s="788"/>
      <c r="H53" s="789"/>
      <c r="I53" s="268">
        <f>IF('3'!E$29&lt;&gt;"",'3'!E$2,0)</f>
        <v>0</v>
      </c>
      <c r="J53" s="282">
        <f>IF('3'!F$29&lt;&gt;"",'3'!F$2,0)</f>
        <v>0</v>
      </c>
      <c r="K53" s="282">
        <f>IF('3'!G$29&lt;&gt;"",'3'!G$2,0)</f>
        <v>0</v>
      </c>
      <c r="L53" s="282">
        <f>IF('3'!H$29&lt;&gt;"",'3'!H$2,0)</f>
        <v>0</v>
      </c>
      <c r="M53" s="283">
        <f>IF('3'!I$29&lt;&gt;"",'3'!I$2,0)</f>
        <v>0</v>
      </c>
      <c r="N53" s="269">
        <f t="shared" si="1"/>
        <v>0</v>
      </c>
    </row>
    <row r="54" spans="1:14" ht="18.649999999999999" customHeight="1" x14ac:dyDescent="0.35">
      <c r="A54" s="288">
        <v>13</v>
      </c>
      <c r="B54" s="647" t="str">
        <f>'3'!B31</f>
        <v>Políticas de género</v>
      </c>
      <c r="C54" s="647"/>
      <c r="D54" s="647"/>
      <c r="E54" s="647"/>
      <c r="F54" s="647"/>
      <c r="G54" s="647"/>
      <c r="H54" s="669"/>
      <c r="I54" s="289">
        <f>IF('3'!E$31&lt;&gt;"",'3'!E$2,0)</f>
        <v>0</v>
      </c>
      <c r="J54" s="290">
        <f>IF('3'!F$31&lt;&gt;"",'3'!F$2,0)</f>
        <v>0</v>
      </c>
      <c r="K54" s="290">
        <f>IF('3'!G$31&lt;&gt;"",'3'!G$2,0)</f>
        <v>0</v>
      </c>
      <c r="L54" s="290">
        <f>IF('3'!H$31&lt;&gt;"",'3'!H$2,0)</f>
        <v>0</v>
      </c>
      <c r="M54" s="291">
        <f>IF('3'!I$31&lt;&gt;"",'3'!I$2,0)</f>
        <v>0</v>
      </c>
      <c r="N54" s="269">
        <f t="shared" si="1"/>
        <v>0</v>
      </c>
    </row>
    <row r="55" spans="1:14" ht="18.649999999999999" customHeight="1" x14ac:dyDescent="0.35">
      <c r="A55" s="262" t="s">
        <v>753</v>
      </c>
      <c r="B55" s="657" t="s">
        <v>754</v>
      </c>
      <c r="C55" s="657"/>
      <c r="D55" s="657"/>
      <c r="E55" s="657"/>
      <c r="F55" s="657"/>
      <c r="G55" s="657"/>
      <c r="H55" s="670"/>
      <c r="I55" s="292"/>
      <c r="J55" s="264"/>
      <c r="K55" s="264"/>
      <c r="L55" s="264"/>
      <c r="M55" s="293"/>
      <c r="N55" s="266">
        <f>IFERROR(AVERAGEIF(I56:M67,"&lt;&gt;0",I56:M67),0)</f>
        <v>4.6363636363636367</v>
      </c>
    </row>
    <row r="56" spans="1:14" ht="18.649999999999999" customHeight="1" x14ac:dyDescent="0.35">
      <c r="A56" s="267">
        <v>1</v>
      </c>
      <c r="B56" s="645" t="str">
        <f>'4'!B3</f>
        <v>Comparación de los costos de energía con los costos totales de producción</v>
      </c>
      <c r="C56" s="645"/>
      <c r="D56" s="645"/>
      <c r="E56" s="645"/>
      <c r="F56" s="645"/>
      <c r="G56" s="645"/>
      <c r="H56" s="654"/>
      <c r="I56" s="294">
        <f>IF('4'!E$3&lt;&gt;"",'4'!E$2,0)</f>
        <v>0</v>
      </c>
      <c r="J56" s="282">
        <f>IF('4'!F$3&lt;&gt;"",'4'!F$2,0)</f>
        <v>0</v>
      </c>
      <c r="K56" s="282">
        <f>IF('4'!G$3&lt;&gt;"",'4'!G$2,0)</f>
        <v>0</v>
      </c>
      <c r="L56" s="282">
        <f>IF('4'!H$3&lt;&gt;"",'4'!H$2,0)</f>
        <v>0</v>
      </c>
      <c r="M56" s="295">
        <f>IF('4'!I$3&lt;&gt;"",'4'!I$2,0)</f>
        <v>5</v>
      </c>
      <c r="N56" s="269">
        <f>SUM(I56:M56)</f>
        <v>5</v>
      </c>
    </row>
    <row r="57" spans="1:14" ht="18.649999999999999" customHeight="1" x14ac:dyDescent="0.35">
      <c r="A57" s="267">
        <v>2</v>
      </c>
      <c r="B57" s="645" t="str">
        <f>'4'!B5</f>
        <v>Implementación de medidas de eficiencia energética</v>
      </c>
      <c r="C57" s="645"/>
      <c r="D57" s="645"/>
      <c r="E57" s="645"/>
      <c r="F57" s="645"/>
      <c r="G57" s="645"/>
      <c r="H57" s="654"/>
      <c r="I57" s="294">
        <f>IF('4'!E$5&lt;&gt;"",'4'!E$2,0)</f>
        <v>0</v>
      </c>
      <c r="J57" s="282">
        <f>IF('4'!F$5&lt;&gt;"",'4'!F$2,0)</f>
        <v>0</v>
      </c>
      <c r="K57" s="282">
        <f>IF('4'!G$5&lt;&gt;"",'4'!G$2,0)</f>
        <v>0</v>
      </c>
      <c r="L57" s="282">
        <f>IF('4'!H$5&lt;&gt;"",'4'!H$2,0)</f>
        <v>0</v>
      </c>
      <c r="M57" s="295">
        <f>IF('4'!I$5&lt;&gt;"",'4'!I$2,0)</f>
        <v>5</v>
      </c>
      <c r="N57" s="269">
        <f t="shared" ref="N57:N97" si="2">SUM(I57:M57)</f>
        <v>5</v>
      </c>
    </row>
    <row r="58" spans="1:14" ht="18.649999999999999" customHeight="1" x14ac:dyDescent="0.35">
      <c r="A58" s="267">
        <v>3</v>
      </c>
      <c r="B58" s="645" t="str">
        <f>'4'!B7</f>
        <v>Medición del desempeño energético</v>
      </c>
      <c r="C58" s="645"/>
      <c r="D58" s="645"/>
      <c r="E58" s="645"/>
      <c r="F58" s="645"/>
      <c r="G58" s="645"/>
      <c r="H58" s="654"/>
      <c r="I58" s="294">
        <f>IF('4'!E$7&lt;&gt;"",'4'!E$2,0)</f>
        <v>0</v>
      </c>
      <c r="J58" s="282">
        <f>IF('4'!F$7&lt;&gt;"",'4'!F$2,0)</f>
        <v>0</v>
      </c>
      <c r="K58" s="282">
        <f>IF('4'!G$7&lt;&gt;"",'4'!G$2,0)</f>
        <v>0</v>
      </c>
      <c r="L58" s="282">
        <f>IF('4'!H$7&lt;&gt;"",'4'!H$2,0)</f>
        <v>0</v>
      </c>
      <c r="M58" s="295">
        <f>IF('4'!I$7&lt;&gt;"",'4'!I$2,0)</f>
        <v>5</v>
      </c>
      <c r="N58" s="269">
        <f t="shared" si="2"/>
        <v>5</v>
      </c>
    </row>
    <row r="59" spans="1:14" ht="18.649999999999999" customHeight="1" x14ac:dyDescent="0.35">
      <c r="A59" s="267">
        <v>4</v>
      </c>
      <c r="B59" s="645" t="str">
        <f>'4'!B9</f>
        <v>Valoración técnica y referenciación con mejores practicas (Best Practices y Benchmarking)</v>
      </c>
      <c r="C59" s="645"/>
      <c r="D59" s="645"/>
      <c r="E59" s="645"/>
      <c r="F59" s="645"/>
      <c r="G59" s="645"/>
      <c r="H59" s="654"/>
      <c r="I59" s="282">
        <f>IF('4'!E$9&lt;&gt;"",'4'!E$2,0)</f>
        <v>0</v>
      </c>
      <c r="J59" s="282">
        <f>IF('4'!F$9&lt;&gt;"",'4'!F$2,0)</f>
        <v>0</v>
      </c>
      <c r="K59" s="282">
        <f>IF('4'!G$9&lt;&gt;"",'4'!G$2,0)</f>
        <v>0</v>
      </c>
      <c r="L59" s="282">
        <f>IF('4'!H$9&lt;&gt;"",'4'!H$2,0)</f>
        <v>0</v>
      </c>
      <c r="M59" s="295">
        <f>IF('4'!I$9&lt;&gt;"",'4'!I$2,0)</f>
        <v>5</v>
      </c>
      <c r="N59" s="269">
        <f t="shared" si="2"/>
        <v>5</v>
      </c>
    </row>
    <row r="60" spans="1:14" ht="18.649999999999999" customHeight="1" x14ac:dyDescent="0.35">
      <c r="A60" s="267">
        <v>5</v>
      </c>
      <c r="B60" s="645" t="str">
        <f>'4'!B11</f>
        <v>Objetivos y metas de desempeño</v>
      </c>
      <c r="C60" s="645"/>
      <c r="D60" s="645"/>
      <c r="E60" s="645"/>
      <c r="F60" s="645"/>
      <c r="G60" s="645"/>
      <c r="H60" s="654"/>
      <c r="I60" s="294">
        <f>IF('4'!E$11&lt;&gt;"",'4'!E$2,0)</f>
        <v>0</v>
      </c>
      <c r="J60" s="282">
        <f>IF('4'!F$11&lt;&gt;"",'4'!F$2,0)</f>
        <v>0</v>
      </c>
      <c r="K60" s="282">
        <f>IF('4'!G$11&lt;&gt;"",'4'!G$2,0)</f>
        <v>0</v>
      </c>
      <c r="L60" s="282">
        <f>IF('4'!H$11&lt;&gt;"",'4'!H$2,0)</f>
        <v>0</v>
      </c>
      <c r="M60" s="295">
        <f>IF('4'!I$11&lt;&gt;"",'4'!I$2,0)</f>
        <v>5</v>
      </c>
      <c r="N60" s="269">
        <f t="shared" si="2"/>
        <v>5</v>
      </c>
    </row>
    <row r="61" spans="1:14" ht="18.649999999999999" customHeight="1" x14ac:dyDescent="0.35">
      <c r="A61" s="267">
        <v>6</v>
      </c>
      <c r="B61" s="645" t="str">
        <f>'4'!B13</f>
        <v>Plan de Acción para el  mejoramiento</v>
      </c>
      <c r="C61" s="645"/>
      <c r="D61" s="645"/>
      <c r="E61" s="645"/>
      <c r="F61" s="645"/>
      <c r="G61" s="645"/>
      <c r="H61" s="654"/>
      <c r="I61" s="294">
        <f>IF('4'!E$13&lt;&gt;"",'4'!E$2,0)</f>
        <v>0</v>
      </c>
      <c r="J61" s="282">
        <f>IF('4'!F$13&lt;&gt;"",'4'!F$2,0)</f>
        <v>0</v>
      </c>
      <c r="K61" s="282">
        <f>IF('4'!G$13&lt;&gt;"",'4'!G$2,0)</f>
        <v>0</v>
      </c>
      <c r="L61" s="282">
        <f>IF('4'!H$13&lt;&gt;"",'4'!H$2,0)</f>
        <v>0</v>
      </c>
      <c r="M61" s="295">
        <f>IF('4'!I$13&lt;&gt;"",'4'!I$2,0)</f>
        <v>5</v>
      </c>
      <c r="N61" s="269">
        <f t="shared" si="2"/>
        <v>5</v>
      </c>
    </row>
    <row r="62" spans="1:14" ht="18.649999999999999" customHeight="1" x14ac:dyDescent="0.35">
      <c r="A62" s="267">
        <v>7</v>
      </c>
      <c r="B62" s="645" t="str">
        <f>'4'!B15</f>
        <v>Implementación de los Planes de Acción</v>
      </c>
      <c r="C62" s="645"/>
      <c r="D62" s="645"/>
      <c r="E62" s="645"/>
      <c r="F62" s="645"/>
      <c r="G62" s="645"/>
      <c r="H62" s="654"/>
      <c r="I62" s="294">
        <f>IF('4'!E$15&lt;&gt;"",'4'!E$2,0)</f>
        <v>0</v>
      </c>
      <c r="J62" s="282">
        <f>IF('4'!F$15&lt;&gt;"",'4'!F$2,0)</f>
        <v>0</v>
      </c>
      <c r="K62" s="282">
        <f>IF('4'!G$15&lt;&gt;"",'4'!G$2,0)</f>
        <v>0</v>
      </c>
      <c r="L62" s="282">
        <f>IF('4'!H$15&lt;&gt;"",'4'!H$2,0)</f>
        <v>0</v>
      </c>
      <c r="M62" s="295">
        <f>IF('4'!I$15&lt;&gt;"",'4'!I$2,0)</f>
        <v>5</v>
      </c>
      <c r="N62" s="269">
        <f t="shared" si="2"/>
        <v>5</v>
      </c>
    </row>
    <row r="63" spans="1:14" ht="19.899999999999999" customHeight="1" x14ac:dyDescent="0.35">
      <c r="A63" s="267">
        <v>8</v>
      </c>
      <c r="B63" s="645" t="str">
        <f>'4'!B17</f>
        <v>Documentación y análisis</v>
      </c>
      <c r="C63" s="645"/>
      <c r="D63" s="645"/>
      <c r="E63" s="645"/>
      <c r="F63" s="645"/>
      <c r="G63" s="645"/>
      <c r="H63" s="654"/>
      <c r="I63" s="294">
        <f>IF('4'!E$17&lt;&gt;"",'4'!E$2,0)</f>
        <v>0</v>
      </c>
      <c r="J63" s="282">
        <f>IF('4'!F$17&lt;&gt;"",'4'!F$2,0)</f>
        <v>0</v>
      </c>
      <c r="K63" s="282">
        <f>IF('4'!G$17&lt;&gt;"",'4'!G$2,0)</f>
        <v>0</v>
      </c>
      <c r="L63" s="282">
        <f>IF('4'!H$17&lt;&gt;"",'4'!H$2,0)</f>
        <v>0</v>
      </c>
      <c r="M63" s="295">
        <f>IF('4'!I$17&lt;&gt;"",'4'!I$2,0)</f>
        <v>5</v>
      </c>
      <c r="N63" s="269">
        <f t="shared" si="2"/>
        <v>5</v>
      </c>
    </row>
    <row r="64" spans="1:14" ht="19.899999999999999" customHeight="1" x14ac:dyDescent="0.35">
      <c r="A64" s="267">
        <v>9</v>
      </c>
      <c r="B64" s="645" t="str">
        <f>'4'!B19</f>
        <v>Participación</v>
      </c>
      <c r="C64" s="645"/>
      <c r="D64" s="645"/>
      <c r="E64" s="645"/>
      <c r="F64" s="645"/>
      <c r="G64" s="645"/>
      <c r="H64" s="654"/>
      <c r="I64" s="294">
        <f>IF('4'!E$19&lt;&gt;"",'4'!E$2,0)</f>
        <v>0</v>
      </c>
      <c r="J64" s="282">
        <f>IF('4'!F$19&lt;&gt;"",'4'!F$2,0)</f>
        <v>0</v>
      </c>
      <c r="K64" s="282">
        <f>IF('4'!G$19&lt;&gt;"",'4'!G$2,0)</f>
        <v>0</v>
      </c>
      <c r="L64" s="282">
        <f>IF('4'!H$19&lt;&gt;"",'4'!H$2,0)</f>
        <v>0</v>
      </c>
      <c r="M64" s="295">
        <f>IF('4'!I$19&lt;&gt;"",'4'!I$2,0)</f>
        <v>5</v>
      </c>
      <c r="N64" s="269">
        <f t="shared" si="2"/>
        <v>5</v>
      </c>
    </row>
    <row r="65" spans="1:14" s="296" customFormat="1" ht="18.649999999999999" customHeight="1" x14ac:dyDescent="0.45">
      <c r="A65" s="267">
        <v>10</v>
      </c>
      <c r="B65" s="645" t="str">
        <f>'4'!B21</f>
        <v>Compromiso con la Eficiencia Energética EEn.</v>
      </c>
      <c r="C65" s="645"/>
      <c r="D65" s="645"/>
      <c r="E65" s="645"/>
      <c r="F65" s="645"/>
      <c r="G65" s="645"/>
      <c r="H65" s="654"/>
      <c r="I65" s="294">
        <f>IF('4'!E$21&lt;&gt;"",'4'!E$2,0)</f>
        <v>1</v>
      </c>
      <c r="J65" s="282">
        <f>IF('4'!F$21&lt;&gt;"",'4'!F$2,0)</f>
        <v>0</v>
      </c>
      <c r="K65" s="282">
        <f>IF('4'!G$21&lt;&gt;"",'4'!G$2,0)</f>
        <v>0</v>
      </c>
      <c r="L65" s="282">
        <f>IF('4'!H$21&lt;&gt;"",'4'!H$2,0)</f>
        <v>0</v>
      </c>
      <c r="M65" s="295">
        <f>IF('4'!I$21&lt;&gt;"",'4'!I$2,0)</f>
        <v>5</v>
      </c>
      <c r="N65" s="269">
        <f t="shared" si="2"/>
        <v>6</v>
      </c>
    </row>
    <row r="66" spans="1:14" s="296" customFormat="1" ht="18.649999999999999" customHeight="1" x14ac:dyDescent="0.45">
      <c r="A66" s="267"/>
      <c r="B66" s="645"/>
      <c r="C66" s="645"/>
      <c r="D66" s="645"/>
      <c r="E66" s="645"/>
      <c r="F66" s="645"/>
      <c r="G66" s="645"/>
      <c r="H66" s="654"/>
      <c r="I66" s="294"/>
      <c r="J66" s="282"/>
      <c r="K66" s="282"/>
      <c r="L66" s="282"/>
      <c r="M66" s="295"/>
      <c r="N66" s="269">
        <f t="shared" si="2"/>
        <v>0</v>
      </c>
    </row>
    <row r="67" spans="1:14" s="296" customFormat="1" ht="18.649999999999999" customHeight="1" x14ac:dyDescent="0.45">
      <c r="A67" s="267"/>
      <c r="B67" s="645"/>
      <c r="C67" s="645"/>
      <c r="D67" s="645"/>
      <c r="E67" s="645"/>
      <c r="F67" s="645"/>
      <c r="G67" s="645"/>
      <c r="H67" s="654"/>
      <c r="I67" s="297"/>
      <c r="J67" s="290"/>
      <c r="K67" s="290"/>
      <c r="L67" s="290"/>
      <c r="M67" s="298"/>
      <c r="N67" s="269">
        <f t="shared" si="2"/>
        <v>0</v>
      </c>
    </row>
    <row r="68" spans="1:14" s="296" customFormat="1" ht="18.649999999999999" customHeight="1" x14ac:dyDescent="0.45">
      <c r="A68" s="299" t="s">
        <v>755</v>
      </c>
      <c r="B68" s="651" t="s">
        <v>756</v>
      </c>
      <c r="C68" s="651"/>
      <c r="D68" s="651"/>
      <c r="E68" s="651"/>
      <c r="F68" s="651"/>
      <c r="G68" s="651"/>
      <c r="H68" s="667"/>
      <c r="I68" s="300"/>
      <c r="J68" s="301"/>
      <c r="K68" s="301"/>
      <c r="L68" s="301"/>
      <c r="M68" s="302"/>
      <c r="N68" s="303">
        <f>IFERROR(AVERAGEIF(I69:M74,"&lt;&gt;0",I69:M74),0)</f>
        <v>1</v>
      </c>
    </row>
    <row r="69" spans="1:14" s="296" customFormat="1" ht="18.649999999999999" customHeight="1" x14ac:dyDescent="0.45">
      <c r="A69" s="267">
        <v>1</v>
      </c>
      <c r="B69" s="645" t="str">
        <f>'5'!B3</f>
        <v>Certificaciones de calidad</v>
      </c>
      <c r="C69" s="645"/>
      <c r="D69" s="645"/>
      <c r="E69" s="645"/>
      <c r="F69" s="645"/>
      <c r="G69" s="645"/>
      <c r="H69" s="654"/>
      <c r="I69" s="294">
        <f>IF('5'!E$3&lt;&gt;"",'5'!E$2,0)</f>
        <v>1</v>
      </c>
      <c r="J69" s="282">
        <f>IF('5'!F$3&lt;&gt;"",'5'!F$2,0)</f>
        <v>0</v>
      </c>
      <c r="K69" s="282">
        <f>IF('5'!G$3&lt;&gt;"",'5'!G$2,0)</f>
        <v>0</v>
      </c>
      <c r="L69" s="282">
        <f>IF('5'!H$3&lt;&gt;"",'5'!H$2,0)</f>
        <v>0</v>
      </c>
      <c r="M69" s="295">
        <f>IF('5'!I$3&lt;&gt;"",'5'!I$2,0)</f>
        <v>0</v>
      </c>
      <c r="N69" s="269">
        <f t="shared" si="2"/>
        <v>1</v>
      </c>
    </row>
    <row r="70" spans="1:14" s="296" customFormat="1" ht="18.649999999999999" customHeight="1" x14ac:dyDescent="0.45">
      <c r="A70" s="267">
        <v>2</v>
      </c>
      <c r="B70" s="645" t="str">
        <f>'5'!B5</f>
        <v>Gestión de procesos</v>
      </c>
      <c r="C70" s="645"/>
      <c r="D70" s="645"/>
      <c r="E70" s="645"/>
      <c r="F70" s="645"/>
      <c r="G70" s="645"/>
      <c r="H70" s="654"/>
      <c r="I70" s="294">
        <f>IF('5'!E$5&lt;&gt;"",'5'!E$2,0)</f>
        <v>1</v>
      </c>
      <c r="J70" s="282">
        <f>IF('5'!F$5&lt;&gt;"",'5'!F$2,0)</f>
        <v>0</v>
      </c>
      <c r="K70" s="282">
        <f>IF('5'!G$5&lt;&gt;"",'5'!G$2,0)</f>
        <v>0</v>
      </c>
      <c r="L70" s="282">
        <f>IF('5'!H$5&lt;&gt;"",'5'!H$2,0)</f>
        <v>0</v>
      </c>
      <c r="M70" s="295">
        <f>IF('5'!I$5&lt;&gt;"",'5'!I$2,0)</f>
        <v>0</v>
      </c>
      <c r="N70" s="269">
        <f t="shared" si="2"/>
        <v>1</v>
      </c>
    </row>
    <row r="71" spans="1:14" s="296" customFormat="1" ht="18.649999999999999" customHeight="1" x14ac:dyDescent="0.45">
      <c r="A71" s="267">
        <v>3</v>
      </c>
      <c r="B71" s="645" t="str">
        <f>'5'!B7</f>
        <v xml:space="preserve">Equipo de Calidad </v>
      </c>
      <c r="C71" s="645"/>
      <c r="D71" s="645"/>
      <c r="E71" s="645"/>
      <c r="F71" s="645"/>
      <c r="G71" s="645"/>
      <c r="H71" s="654"/>
      <c r="I71" s="294">
        <f>IF('5'!E$7&lt;&gt;"",'5'!E$2,0)</f>
        <v>1</v>
      </c>
      <c r="J71" s="282">
        <f>IF('5'!F$7&lt;&gt;"",'5'!F$2,0)</f>
        <v>0</v>
      </c>
      <c r="K71" s="282">
        <f>IF('5'!G$7&lt;&gt;"",'5'!G$2,0)</f>
        <v>0</v>
      </c>
      <c r="L71" s="282">
        <f>IF('5'!H$7&lt;&gt;"",'5'!H$2,0)</f>
        <v>0</v>
      </c>
      <c r="M71" s="295">
        <f>IF('5'!I$7&lt;&gt;"",'5'!I$2,0)</f>
        <v>0</v>
      </c>
      <c r="N71" s="269">
        <f t="shared" si="2"/>
        <v>1</v>
      </c>
    </row>
    <row r="72" spans="1:14" s="296" customFormat="1" ht="18.649999999999999" customHeight="1" x14ac:dyDescent="0.45">
      <c r="A72" s="267">
        <v>4</v>
      </c>
      <c r="B72" s="645" t="str">
        <f>'5'!B9</f>
        <v xml:space="preserve">Estándares de calidad </v>
      </c>
      <c r="C72" s="645"/>
      <c r="D72" s="645"/>
      <c r="E72" s="645"/>
      <c r="F72" s="645"/>
      <c r="G72" s="645"/>
      <c r="H72" s="654"/>
      <c r="I72" s="294">
        <f>IF('5'!E$9&lt;&gt;"",'5'!E$2,0)</f>
        <v>1</v>
      </c>
      <c r="J72" s="294">
        <f>IF('5'!F$9&lt;&gt;"",'5'!F$2,0)</f>
        <v>0</v>
      </c>
      <c r="K72" s="294">
        <f>IF('5'!G$9&lt;&gt;"",'5'!G$2,0)</f>
        <v>0</v>
      </c>
      <c r="L72" s="294">
        <f>IF('5'!H$9&lt;&gt;"",'5'!H$2,0)</f>
        <v>0</v>
      </c>
      <c r="M72" s="294">
        <f>IF('5'!I$9&lt;&gt;"",'5'!I$2,0)</f>
        <v>0</v>
      </c>
      <c r="N72" s="269">
        <f t="shared" si="2"/>
        <v>1</v>
      </c>
    </row>
    <row r="73" spans="1:14" s="296" customFormat="1" ht="18.649999999999999" customHeight="1" x14ac:dyDescent="0.45">
      <c r="A73" s="267">
        <v>5</v>
      </c>
      <c r="B73" s="645" t="str">
        <f>'5'!B11</f>
        <v xml:space="preserve">Satisfacción del cliente </v>
      </c>
      <c r="C73" s="645"/>
      <c r="D73" s="645"/>
      <c r="E73" s="645"/>
      <c r="F73" s="645"/>
      <c r="G73" s="645"/>
      <c r="H73" s="654"/>
      <c r="I73" s="294">
        <f>IF('5'!E$11&lt;&gt;"",'5'!E$2,0)</f>
        <v>1</v>
      </c>
      <c r="J73" s="294">
        <f>IF('5'!F$11&lt;&gt;"",'5'!F$2,0)</f>
        <v>0</v>
      </c>
      <c r="K73" s="294">
        <f>IF('5'!G$11&lt;&gt;"",'5'!G$2,0)</f>
        <v>0</v>
      </c>
      <c r="L73" s="294">
        <f>IF('5'!H$11&lt;&gt;"",'5'!H$2,0)</f>
        <v>0</v>
      </c>
      <c r="M73" s="294">
        <f>IF('5'!I$11&lt;&gt;"",'5'!I$2,0)</f>
        <v>0</v>
      </c>
      <c r="N73" s="269">
        <f t="shared" si="2"/>
        <v>1</v>
      </c>
    </row>
    <row r="74" spans="1:14" s="296" customFormat="1" ht="18.649999999999999" customHeight="1" x14ac:dyDescent="0.45">
      <c r="A74" s="267"/>
      <c r="B74" s="645"/>
      <c r="C74" s="645"/>
      <c r="D74" s="645"/>
      <c r="E74" s="645"/>
      <c r="F74" s="645"/>
      <c r="G74" s="645"/>
      <c r="H74" s="654"/>
      <c r="I74" s="294"/>
      <c r="J74" s="294"/>
      <c r="K74" s="294"/>
      <c r="L74" s="294"/>
      <c r="M74" s="294"/>
      <c r="N74" s="269">
        <f t="shared" si="2"/>
        <v>0</v>
      </c>
    </row>
    <row r="75" spans="1:14" s="296" customFormat="1" ht="18.649999999999999" customHeight="1" x14ac:dyDescent="0.45">
      <c r="A75" s="270" t="s">
        <v>757</v>
      </c>
      <c r="B75" s="651" t="s">
        <v>758</v>
      </c>
      <c r="C75" s="651"/>
      <c r="D75" s="651"/>
      <c r="E75" s="651"/>
      <c r="F75" s="651"/>
      <c r="G75" s="651"/>
      <c r="H75" s="667"/>
      <c r="I75" s="304"/>
      <c r="J75" s="272"/>
      <c r="K75" s="272"/>
      <c r="L75" s="272"/>
      <c r="M75" s="305"/>
      <c r="N75" s="274">
        <f>IFERROR(AVERAGEIF(I76:M86,"&lt;&gt;0",I76:M86),0)</f>
        <v>2.3333333333333335</v>
      </c>
    </row>
    <row r="76" spans="1:14" s="296" customFormat="1" ht="18.649999999999999" customHeight="1" x14ac:dyDescent="0.45">
      <c r="A76" s="306">
        <v>1</v>
      </c>
      <c r="B76" s="664" t="str">
        <f>'6'!B3</f>
        <v>Desarrollo de nuevos productos o servicios</v>
      </c>
      <c r="C76" s="665"/>
      <c r="D76" s="665"/>
      <c r="E76" s="665"/>
      <c r="F76" s="665"/>
      <c r="G76" s="665"/>
      <c r="H76" s="666"/>
      <c r="I76" s="294">
        <f>IF('6'!E$3="NA","NA",IF('6'!E$3&lt;&gt;"",'6'!E$2,0))</f>
        <v>0</v>
      </c>
      <c r="J76" s="282">
        <f>IF('6'!F$3="NA","NA",IF('6'!F$3&lt;&gt;"",'6'!F$2,0))</f>
        <v>0</v>
      </c>
      <c r="K76" s="282" t="str">
        <f>IF('6'!G$3="NA","NA",IF('6'!G$3&lt;&gt;"",'6'!G$2,0))</f>
        <v>NA</v>
      </c>
      <c r="L76" s="282">
        <f>IF('6'!H$3="NA","NA",IF('6'!H$3&lt;&gt;"",'6'!H$2,0))</f>
        <v>0</v>
      </c>
      <c r="M76" s="295">
        <f>IF('6'!I$3="NA","NA",IF('6'!I$3&lt;&gt;"",'6'!I$2,0))</f>
        <v>0</v>
      </c>
      <c r="N76" s="269">
        <f t="shared" si="2"/>
        <v>0</v>
      </c>
    </row>
    <row r="77" spans="1:14" s="296" customFormat="1" ht="18.649999999999999" customHeight="1" x14ac:dyDescent="0.45">
      <c r="A77" s="307">
        <v>2</v>
      </c>
      <c r="B77" s="645" t="str">
        <f>'6'!B5</f>
        <v>Rentabilidad de la inversión en los nuevos productos o servicios</v>
      </c>
      <c r="C77" s="645"/>
      <c r="D77" s="645"/>
      <c r="E77" s="645"/>
      <c r="F77" s="645"/>
      <c r="G77" s="645"/>
      <c r="H77" s="654"/>
      <c r="I77" s="294">
        <f>IF('6'!E$5&lt;&gt;"",'6'!E$2,0)</f>
        <v>0</v>
      </c>
      <c r="J77" s="294">
        <f>IF('6'!F$5&lt;&gt;"",'6'!F$2,0)</f>
        <v>0</v>
      </c>
      <c r="K77" s="294">
        <f>IF('6'!G$5&lt;&gt;"",'6'!G$2,0)</f>
        <v>0</v>
      </c>
      <c r="L77" s="294">
        <f>IF('6'!H$5&lt;&gt;"",'6'!H$2,0)</f>
        <v>0</v>
      </c>
      <c r="M77" s="294">
        <f>IF('6'!I$5&lt;&gt;"",'6'!I$2,0)</f>
        <v>0</v>
      </c>
      <c r="N77" s="269">
        <f t="shared" si="2"/>
        <v>0</v>
      </c>
    </row>
    <row r="78" spans="1:14" s="296" customFormat="1" ht="31.5" customHeight="1" x14ac:dyDescent="0.45">
      <c r="A78" s="267">
        <v>3</v>
      </c>
      <c r="B78" s="645" t="str">
        <f>'6'!B7</f>
        <v>Agilidad</v>
      </c>
      <c r="C78" s="645"/>
      <c r="D78" s="645"/>
      <c r="E78" s="645"/>
      <c r="F78" s="645"/>
      <c r="G78" s="645"/>
      <c r="H78" s="654"/>
      <c r="I78" s="294">
        <f>IF('6'!E$7&lt;&gt;"",'6'!E$2,0)</f>
        <v>1</v>
      </c>
      <c r="J78" s="282">
        <f>IF('6'!F$7&lt;&gt;"",'6'!F$2,0)</f>
        <v>0</v>
      </c>
      <c r="K78" s="282">
        <f>IF('6'!G$7&lt;&gt;"",'6'!G$2,0)</f>
        <v>0</v>
      </c>
      <c r="L78" s="282">
        <f>IF('6'!H$7&lt;&gt;"",'6'!H$2,0)</f>
        <v>0</v>
      </c>
      <c r="M78" s="295">
        <f>IF('6'!I$7&lt;&gt;"",'6'!I$2,0)</f>
        <v>0</v>
      </c>
      <c r="N78" s="269">
        <f t="shared" si="2"/>
        <v>1</v>
      </c>
    </row>
    <row r="79" spans="1:14" s="296" customFormat="1" ht="18.649999999999999" customHeight="1" x14ac:dyDescent="0.45">
      <c r="A79" s="267">
        <v>4</v>
      </c>
      <c r="B79" s="645" t="str">
        <f>'6'!B9</f>
        <v>Personal dedicado a I+D+i</v>
      </c>
      <c r="C79" s="645"/>
      <c r="D79" s="645"/>
      <c r="E79" s="645"/>
      <c r="F79" s="645"/>
      <c r="G79" s="645"/>
      <c r="H79" s="654"/>
      <c r="I79" s="294">
        <f>IF('6'!E$9&lt;&gt;"",'6'!E$2,0)</f>
        <v>0</v>
      </c>
      <c r="J79" s="282">
        <f>IF('6'!F$9&lt;&gt;"",'6'!F$2,0)</f>
        <v>0</v>
      </c>
      <c r="K79" s="282">
        <f>IF('6'!G$9&lt;&gt;"",'6'!G$2,0)</f>
        <v>0</v>
      </c>
      <c r="L79" s="282">
        <f>IF('6'!H$9&lt;&gt;"",'6'!H$2,0)</f>
        <v>0</v>
      </c>
      <c r="M79" s="295">
        <f>IF('6'!I$9&lt;&gt;"",'6'!I$2,0)</f>
        <v>0</v>
      </c>
      <c r="N79" s="269">
        <f t="shared" si="2"/>
        <v>0</v>
      </c>
    </row>
    <row r="80" spans="1:14" s="296" customFormat="1" ht="18.649999999999999" customHeight="1" x14ac:dyDescent="0.45">
      <c r="A80" s="267">
        <v>5</v>
      </c>
      <c r="B80" s="645" t="str">
        <f>'6'!B11</f>
        <v>Quién hace el desarrollo de nuevos servicios o productos</v>
      </c>
      <c r="C80" s="645"/>
      <c r="D80" s="645"/>
      <c r="E80" s="645"/>
      <c r="F80" s="645"/>
      <c r="G80" s="645"/>
      <c r="H80" s="654"/>
      <c r="I80" s="294">
        <f>IF('6'!E$11&lt;&gt;"",'6'!E$2,0)</f>
        <v>0</v>
      </c>
      <c r="J80" s="282">
        <f>IF('6'!F$11&lt;&gt;"",'6'!F$2,0)</f>
        <v>0</v>
      </c>
      <c r="K80" s="282">
        <f>IF('6'!G$11&lt;&gt;"",'6'!G$2,0)</f>
        <v>0</v>
      </c>
      <c r="L80" s="282">
        <f>IF('6'!H$11&lt;&gt;"",'6'!H$2,0)</f>
        <v>0</v>
      </c>
      <c r="M80" s="295">
        <f>IF('6'!I$11&lt;&gt;"",'6'!I$2,0)</f>
        <v>0</v>
      </c>
      <c r="N80" s="269">
        <f t="shared" si="2"/>
        <v>0</v>
      </c>
    </row>
    <row r="81" spans="1:14" s="296" customFormat="1" ht="18.649999999999999" customHeight="1" x14ac:dyDescent="0.45">
      <c r="A81" s="267">
        <v>6</v>
      </c>
      <c r="B81" s="792" t="str">
        <f>'6'!B13</f>
        <v>Se considera la capacidad del proceso en el desarrollo de nuevos productos o servicios</v>
      </c>
      <c r="C81" s="792"/>
      <c r="D81" s="792"/>
      <c r="E81" s="792"/>
      <c r="F81" s="792"/>
      <c r="G81" s="792"/>
      <c r="H81" s="790"/>
      <c r="I81" s="294">
        <f>IF('6'!E$13&lt;&gt;"",'6'!E$2,0)</f>
        <v>0</v>
      </c>
      <c r="J81" s="294">
        <f>IF('6'!F$13&lt;&gt;"",'6'!F$2,0)</f>
        <v>0</v>
      </c>
      <c r="K81" s="294">
        <f>IF('6'!G$13&lt;&gt;"",'6'!G$2,0)</f>
        <v>0</v>
      </c>
      <c r="L81" s="294">
        <f>IF('6'!H$13&lt;&gt;"",'6'!H$2,0)</f>
        <v>0</v>
      </c>
      <c r="M81" s="294">
        <f>IF('6'!I$13&lt;&gt;"",'6'!I$2,0)</f>
        <v>0</v>
      </c>
      <c r="N81" s="269">
        <f t="shared" si="2"/>
        <v>0</v>
      </c>
    </row>
    <row r="82" spans="1:14" s="296" customFormat="1" ht="18.649999999999999" customHeight="1" x14ac:dyDescent="0.45">
      <c r="A82" s="267">
        <v>7</v>
      </c>
      <c r="B82" s="645" t="str">
        <f>'6'!B15</f>
        <v>Articulación</v>
      </c>
      <c r="C82" s="645"/>
      <c r="D82" s="645"/>
      <c r="E82" s="645"/>
      <c r="F82" s="645"/>
      <c r="G82" s="645"/>
      <c r="H82" s="654"/>
      <c r="I82" s="294">
        <f>IF('6'!E$15&lt;&gt;"",'6'!E$2,0)</f>
        <v>0</v>
      </c>
      <c r="J82" s="282">
        <f>IF('6'!F$15&lt;&gt;"",'6'!F$2,0)</f>
        <v>0</v>
      </c>
      <c r="K82" s="282">
        <f>IF('6'!G$15&lt;&gt;"",'6'!G$2,0)</f>
        <v>0</v>
      </c>
      <c r="L82" s="282">
        <f>IF('6'!H$15&lt;&gt;"",'6'!H$2,0)</f>
        <v>0</v>
      </c>
      <c r="M82" s="295">
        <f>IF('6'!I$15&lt;&gt;"",'6'!I$2,0)</f>
        <v>0</v>
      </c>
      <c r="N82" s="269">
        <f t="shared" si="2"/>
        <v>0</v>
      </c>
    </row>
    <row r="83" spans="1:14" s="296" customFormat="1" ht="18.649999999999999" customHeight="1" x14ac:dyDescent="0.45">
      <c r="A83" s="267">
        <v>8</v>
      </c>
      <c r="B83" s="645" t="str">
        <f>'6'!B17</f>
        <v>Cuál es el nivel de participación de los proveedores en el desarrollo de productos o servicios</v>
      </c>
      <c r="C83" s="645"/>
      <c r="D83" s="645"/>
      <c r="E83" s="645"/>
      <c r="F83" s="645"/>
      <c r="G83" s="645"/>
      <c r="H83" s="654"/>
      <c r="I83" s="294">
        <f>IF('6'!E$17&lt;&gt;"",'6'!E$2,0)</f>
        <v>0</v>
      </c>
      <c r="J83" s="282">
        <f>IF('6'!F$17&lt;&gt;"",'6'!F$2,0)</f>
        <v>0</v>
      </c>
      <c r="K83" s="282">
        <f>IF('6'!G$17&lt;&gt;"",'6'!G$2,0)</f>
        <v>0</v>
      </c>
      <c r="L83" s="282">
        <f>IF('6'!H$17&lt;&gt;"",'6'!H$2,0)</f>
        <v>0</v>
      </c>
      <c r="M83" s="295">
        <f>IF('6'!I$17&lt;&gt;"",'6'!I$2,0)</f>
        <v>0</v>
      </c>
      <c r="N83" s="269">
        <f t="shared" si="2"/>
        <v>0</v>
      </c>
    </row>
    <row r="84" spans="1:14" s="296" customFormat="1" ht="18.649999999999999" customHeight="1" x14ac:dyDescent="0.45">
      <c r="A84" s="267">
        <v>9</v>
      </c>
      <c r="B84" s="645" t="str">
        <f>'6'!B19</f>
        <v>Inversión en I+D+i 
(Investigación, desarrollo e innovación)</v>
      </c>
      <c r="C84" s="645"/>
      <c r="D84" s="645"/>
      <c r="E84" s="645"/>
      <c r="F84" s="645"/>
      <c r="G84" s="645"/>
      <c r="H84" s="654"/>
      <c r="I84" s="294">
        <f>IF('6'!E$19&lt;&gt;"",'6'!E$2,0)</f>
        <v>0</v>
      </c>
      <c r="J84" s="282">
        <f>IF('6'!F$19&lt;&gt;"",'6'!F$2,0)</f>
        <v>0</v>
      </c>
      <c r="K84" s="282">
        <f>IF('6'!G$19&lt;&gt;"",'6'!G$2,0)</f>
        <v>0</v>
      </c>
      <c r="L84" s="282">
        <f>IF('6'!H$19&lt;&gt;"",'6'!H$2,0)</f>
        <v>0</v>
      </c>
      <c r="M84" s="295">
        <f>IF('6'!I$19&lt;&gt;"",'6'!I$2,0)</f>
        <v>5</v>
      </c>
      <c r="N84" s="269">
        <f t="shared" si="2"/>
        <v>5</v>
      </c>
    </row>
    <row r="85" spans="1:14" s="296" customFormat="1" ht="18.649999999999999" customHeight="1" x14ac:dyDescent="0.45">
      <c r="A85" s="267">
        <v>10</v>
      </c>
      <c r="B85" s="645" t="str">
        <f>'6'!B21</f>
        <v>Portafolio de proyectos de innovación</v>
      </c>
      <c r="C85" s="645"/>
      <c r="D85" s="645"/>
      <c r="E85" s="645"/>
      <c r="F85" s="645"/>
      <c r="G85" s="645"/>
      <c r="H85" s="654"/>
      <c r="I85" s="294">
        <f>IF('6'!E$21&lt;&gt;"",'6'!E$2,0)</f>
        <v>1</v>
      </c>
      <c r="J85" s="282">
        <f>IF('6'!F$21&lt;&gt;"",'6'!F$2,0)</f>
        <v>0</v>
      </c>
      <c r="K85" s="282">
        <f>IF('6'!G$21&lt;&gt;"",'6'!G$2,0)</f>
        <v>0</v>
      </c>
      <c r="L85" s="282">
        <f>IF('6'!H$21&lt;&gt;"",'6'!H$2,0)</f>
        <v>0</v>
      </c>
      <c r="M85" s="295">
        <f>IF('6'!I$21&lt;&gt;"",'6'!I$2,0)</f>
        <v>0</v>
      </c>
      <c r="N85" s="269">
        <f t="shared" si="2"/>
        <v>1</v>
      </c>
    </row>
    <row r="86" spans="1:14" s="296" customFormat="1" ht="18.649999999999999" customHeight="1" x14ac:dyDescent="0.45">
      <c r="A86" s="267">
        <v>11</v>
      </c>
      <c r="B86" s="658" t="str">
        <f>'6'!B23</f>
        <v>Propiedad intelectual y mecanismos de protección.</v>
      </c>
      <c r="C86" s="659"/>
      <c r="D86" s="659"/>
      <c r="E86" s="659"/>
      <c r="F86" s="659"/>
      <c r="G86" s="659"/>
      <c r="H86" s="660"/>
      <c r="I86" s="294">
        <f>IF('6'!E$23="NA","NA",IF('6'!E$23&lt;&gt;"",'6'!E$2,0))</f>
        <v>0</v>
      </c>
      <c r="J86" s="294">
        <f>IF('6'!F$23="NA","NA",IF('6'!F$23&lt;&gt;"",'6'!F$2,0))</f>
        <v>0</v>
      </c>
      <c r="K86" s="294" t="str">
        <f>IF('6'!G$23="NA","NA",IF('6'!G$23&lt;&gt;"",'6'!G$2,0))</f>
        <v>NA</v>
      </c>
      <c r="L86" s="294">
        <f>IF('6'!H$23="NA","NA",IF('6'!H$23&lt;&gt;"",'6'!H$2,0))</f>
        <v>0</v>
      </c>
      <c r="M86" s="294">
        <f>IF('6'!I$23="NA","NA",IF('6'!I$23&lt;&gt;"",'6'!I$2,0))</f>
        <v>0</v>
      </c>
      <c r="N86" s="269">
        <f t="shared" si="2"/>
        <v>0</v>
      </c>
    </row>
    <row r="87" spans="1:14" s="296" customFormat="1" ht="18.649999999999999" customHeight="1" x14ac:dyDescent="0.45">
      <c r="A87" s="270" t="s">
        <v>759</v>
      </c>
      <c r="B87" s="661" t="s">
        <v>760</v>
      </c>
      <c r="C87" s="662"/>
      <c r="D87" s="662"/>
      <c r="E87" s="662"/>
      <c r="F87" s="662"/>
      <c r="G87" s="662"/>
      <c r="H87" s="662"/>
      <c r="I87" s="662"/>
      <c r="J87" s="662"/>
      <c r="K87" s="662"/>
      <c r="L87" s="662"/>
      <c r="M87" s="663"/>
      <c r="N87" s="274">
        <f>IFERROR(AVERAGEIF(I88:M97,"&lt;&gt;0",I88:M97),0)</f>
        <v>3</v>
      </c>
    </row>
    <row r="88" spans="1:14" s="296" customFormat="1" ht="18.649999999999999" customHeight="1" x14ac:dyDescent="0.45">
      <c r="A88" s="267">
        <v>1</v>
      </c>
      <c r="B88" s="654" t="str">
        <f>'7'!B3</f>
        <v>Visión</v>
      </c>
      <c r="C88" s="655"/>
      <c r="D88" s="655"/>
      <c r="E88" s="655"/>
      <c r="F88" s="655"/>
      <c r="G88" s="655"/>
      <c r="H88" s="656"/>
      <c r="I88" s="294">
        <f>IF('7'!E$3&lt;&gt;"",'7'!E$2,0)</f>
        <v>0</v>
      </c>
      <c r="J88" s="282">
        <f>IF('7'!F$3&lt;&gt;"",'7'!F$2,0)</f>
        <v>0</v>
      </c>
      <c r="K88" s="282">
        <f>IF('7'!G$3&lt;&gt;"",'7'!G$2,0)</f>
        <v>0</v>
      </c>
      <c r="L88" s="282">
        <f>IF('7'!H$3&lt;&gt;"",'7'!H$2,0)</f>
        <v>0</v>
      </c>
      <c r="M88" s="295">
        <f>IF('7'!I$3&lt;&gt;"",'7'!I$2,0)</f>
        <v>5</v>
      </c>
      <c r="N88" s="269">
        <f t="shared" si="2"/>
        <v>5</v>
      </c>
    </row>
    <row r="89" spans="1:14" s="296" customFormat="1" ht="18.649999999999999" customHeight="1" x14ac:dyDescent="0.45">
      <c r="A89" s="267">
        <v>2</v>
      </c>
      <c r="B89" s="654" t="str">
        <f>'7'!B5</f>
        <v xml:space="preserve">Personal </v>
      </c>
      <c r="C89" s="655"/>
      <c r="D89" s="655"/>
      <c r="E89" s="655"/>
      <c r="F89" s="655"/>
      <c r="G89" s="655"/>
      <c r="H89" s="656"/>
      <c r="I89" s="294">
        <f>IF('7'!E$5&lt;&gt;"",'7'!E$2,0)</f>
        <v>1</v>
      </c>
      <c r="J89" s="282">
        <f>IF('7'!F$5&lt;&gt;"",'7'!F$2,0)</f>
        <v>0</v>
      </c>
      <c r="K89" s="282">
        <f>IF('7'!G$5&lt;&gt;"",'7'!G$2,0)</f>
        <v>0</v>
      </c>
      <c r="L89" s="282">
        <f>IF('7'!H$5&lt;&gt;"",'7'!H$2,0)</f>
        <v>0</v>
      </c>
      <c r="M89" s="295">
        <f>IF('7'!I$5&lt;&gt;"",'7'!I$2,0)</f>
        <v>0</v>
      </c>
      <c r="N89" s="269">
        <f t="shared" si="2"/>
        <v>1</v>
      </c>
    </row>
    <row r="90" spans="1:14" s="296" customFormat="1" ht="18.649999999999999" customHeight="1" x14ac:dyDescent="0.45">
      <c r="A90" s="308">
        <v>3</v>
      </c>
      <c r="B90" s="654" t="str">
        <f>'7'!B7</f>
        <v>Experiencia de   transformación digital del cliente</v>
      </c>
      <c r="C90" s="655"/>
      <c r="D90" s="655"/>
      <c r="E90" s="655"/>
      <c r="F90" s="655"/>
      <c r="G90" s="655"/>
      <c r="H90" s="656"/>
      <c r="I90" s="309">
        <f>IF('7'!E$7&lt;&gt;"",'7'!E$2,0)</f>
        <v>0</v>
      </c>
      <c r="J90" s="310">
        <f>IF('7'!F$7&lt;&gt;"",'7'!F$2,0)</f>
        <v>0</v>
      </c>
      <c r="K90" s="310">
        <f>IF('7'!G$7&lt;&gt;"",'7'!G$2,0)</f>
        <v>0</v>
      </c>
      <c r="L90" s="310">
        <f>IF('7'!H$7&lt;&gt;"",'7'!H$2,0)</f>
        <v>0</v>
      </c>
      <c r="M90" s="311">
        <f>IF('7'!I$7&lt;&gt;"",'7'!I$2,0)</f>
        <v>0</v>
      </c>
      <c r="N90" s="269">
        <f t="shared" si="2"/>
        <v>0</v>
      </c>
    </row>
    <row r="91" spans="1:14" s="296" customFormat="1" ht="18.649999999999999" customHeight="1" x14ac:dyDescent="0.45">
      <c r="A91" s="267">
        <v>4</v>
      </c>
      <c r="B91" s="654" t="str">
        <f>'7'!B9</f>
        <v>Canales</v>
      </c>
      <c r="C91" s="655"/>
      <c r="D91" s="655"/>
      <c r="E91" s="655"/>
      <c r="F91" s="655"/>
      <c r="G91" s="655"/>
      <c r="H91" s="656"/>
      <c r="I91" s="294">
        <f>IF('7'!E$9&lt;&gt;"",'7'!E$2,0)</f>
        <v>0</v>
      </c>
      <c r="J91" s="282">
        <f>IF('7'!F$9&lt;&gt;"",'7'!F$2,0)</f>
        <v>0</v>
      </c>
      <c r="K91" s="282">
        <f>IF('7'!G$9&lt;&gt;"",'7'!G$2,0)</f>
        <v>0</v>
      </c>
      <c r="L91" s="282">
        <f>IF('7'!H$9&lt;&gt;"",'7'!H$2,0)</f>
        <v>0</v>
      </c>
      <c r="M91" s="295">
        <f>IF('7'!I$9&lt;&gt;"",'7'!I$2,0)</f>
        <v>0</v>
      </c>
      <c r="N91" s="269">
        <f t="shared" si="2"/>
        <v>0</v>
      </c>
    </row>
    <row r="92" spans="1:14" s="296" customFormat="1" ht="18.649999999999999" customHeight="1" x14ac:dyDescent="0.45">
      <c r="A92" s="267">
        <v>5</v>
      </c>
      <c r="B92" s="654" t="str">
        <f>'7'!B11</f>
        <v>Innovación</v>
      </c>
      <c r="C92" s="655"/>
      <c r="D92" s="655"/>
      <c r="E92" s="655"/>
      <c r="F92" s="655"/>
      <c r="G92" s="655"/>
      <c r="H92" s="656"/>
      <c r="I92" s="294">
        <f>IF('7'!E$11&lt;&gt;"",'7'!E$2,0)</f>
        <v>0</v>
      </c>
      <c r="J92" s="282">
        <f>IF('7'!F$11&lt;&gt;"",'7'!F$2,0)</f>
        <v>0</v>
      </c>
      <c r="K92" s="282">
        <f>IF('7'!G$11&lt;&gt;"",'7'!G$2,0)</f>
        <v>0</v>
      </c>
      <c r="L92" s="282">
        <f>IF('7'!H$11&lt;&gt;"",'7'!H$2,0)</f>
        <v>0</v>
      </c>
      <c r="M92" s="295">
        <f>IF('7'!I$11&lt;&gt;"",'7'!I$2,0)</f>
        <v>0</v>
      </c>
      <c r="N92" s="269">
        <f t="shared" si="2"/>
        <v>0</v>
      </c>
    </row>
    <row r="93" spans="1:14" s="296" customFormat="1" ht="18.649999999999999" customHeight="1" x14ac:dyDescent="0.45">
      <c r="A93" s="267">
        <v>6</v>
      </c>
      <c r="B93" s="654" t="str">
        <f>'7'!B13</f>
        <v>Inteligencia de Negocio</v>
      </c>
      <c r="C93" s="655"/>
      <c r="D93" s="655"/>
      <c r="E93" s="655"/>
      <c r="F93" s="655"/>
      <c r="G93" s="655"/>
      <c r="H93" s="656"/>
      <c r="I93" s="294">
        <f>IF('7'!E$13&lt;&gt;"",'7'!E$2,0)</f>
        <v>0</v>
      </c>
      <c r="J93" s="282">
        <f>IF('7'!F$13&lt;&gt;"",'7'!F$2,0)</f>
        <v>0</v>
      </c>
      <c r="K93" s="282">
        <f>IF('7'!G$13&lt;&gt;"",'7'!G$2,0)</f>
        <v>0</v>
      </c>
      <c r="L93" s="282">
        <f>IF('7'!H$13&lt;&gt;"",'7'!H$2,0)</f>
        <v>0</v>
      </c>
      <c r="M93" s="295">
        <f>IF('7'!I$13&lt;&gt;"",'7'!I$2,0)</f>
        <v>0</v>
      </c>
      <c r="N93" s="269">
        <f t="shared" si="2"/>
        <v>0</v>
      </c>
    </row>
    <row r="94" spans="1:14" s="296" customFormat="1" ht="18.649999999999999" customHeight="1" x14ac:dyDescent="0.45">
      <c r="A94" s="267">
        <v>7</v>
      </c>
      <c r="B94" s="654" t="str">
        <f>'7'!B15</f>
        <v>Marketing</v>
      </c>
      <c r="C94" s="655"/>
      <c r="D94" s="655"/>
      <c r="E94" s="655"/>
      <c r="F94" s="655"/>
      <c r="G94" s="655"/>
      <c r="H94" s="656"/>
      <c r="I94" s="294">
        <f>IF('7'!E$15&lt;&gt;"",'7'!E$2,0)</f>
        <v>0</v>
      </c>
      <c r="J94" s="282">
        <f>IF('7'!F$15&lt;&gt;"",'7'!F$2,0)</f>
        <v>0</v>
      </c>
      <c r="K94" s="282">
        <f>IF('7'!G$15&lt;&gt;"",'7'!G$2,0)</f>
        <v>0</v>
      </c>
      <c r="L94" s="282">
        <f>IF('7'!H$15&lt;&gt;"",'7'!H$2,0)</f>
        <v>0</v>
      </c>
      <c r="M94" s="295">
        <f>IF('7'!I$15&lt;&gt;"",'7'!I$2,0)</f>
        <v>0</v>
      </c>
      <c r="N94" s="269">
        <f t="shared" si="2"/>
        <v>0</v>
      </c>
    </row>
    <row r="95" spans="1:14" s="296" customFormat="1" ht="18.649999999999999" customHeight="1" x14ac:dyDescent="0.45">
      <c r="A95" s="267">
        <v>8</v>
      </c>
      <c r="B95" s="654" t="str">
        <f>'7'!B17</f>
        <v>Monetización virtual</v>
      </c>
      <c r="C95" s="655"/>
      <c r="D95" s="655"/>
      <c r="E95" s="655"/>
      <c r="F95" s="655"/>
      <c r="G95" s="655"/>
      <c r="H95" s="656"/>
      <c r="I95" s="294">
        <f>IF('7'!E$17&lt;&gt;"",'7'!E$2,0)</f>
        <v>0</v>
      </c>
      <c r="J95" s="282">
        <f>IF('7'!F$17&lt;&gt;"",'7'!F$2,0)</f>
        <v>0</v>
      </c>
      <c r="K95" s="282">
        <f>IF('7'!G$17&lt;&gt;"",'7'!G$2,0)</f>
        <v>0</v>
      </c>
      <c r="L95" s="282">
        <f>IF('7'!H$17&lt;&gt;"",'7'!H$2,0)</f>
        <v>0</v>
      </c>
      <c r="M95" s="295">
        <f>IF('7'!I$17&lt;&gt;"",'7'!I$2,0)</f>
        <v>0</v>
      </c>
      <c r="N95" s="269">
        <f t="shared" si="2"/>
        <v>0</v>
      </c>
    </row>
    <row r="96" spans="1:14" s="296" customFormat="1" ht="18.649999999999999" customHeight="1" x14ac:dyDescent="0.45">
      <c r="A96" s="267">
        <v>9</v>
      </c>
      <c r="B96" s="654" t="str">
        <f>'7'!B19</f>
        <v>Compras de la empresa</v>
      </c>
      <c r="C96" s="655"/>
      <c r="D96" s="655"/>
      <c r="E96" s="655"/>
      <c r="F96" s="655"/>
      <c r="G96" s="655"/>
      <c r="H96" s="656"/>
      <c r="I96" s="294">
        <f>IF('7'!E$19&lt;&gt;"",'7'!E$2,0)</f>
        <v>0</v>
      </c>
      <c r="J96" s="282">
        <f>IF('7'!F$19&lt;&gt;"",'7'!F$2,0)</f>
        <v>0</v>
      </c>
      <c r="K96" s="282">
        <f>IF('7'!G$19&lt;&gt;"",'7'!G$2,0)</f>
        <v>0</v>
      </c>
      <c r="L96" s="282">
        <f>IF('7'!H$19&lt;&gt;"",'7'!H$2,0)</f>
        <v>0</v>
      </c>
      <c r="M96" s="295">
        <f>IF('7'!I$19&lt;&gt;"",'7'!I$2,0)</f>
        <v>0</v>
      </c>
      <c r="N96" s="269">
        <f t="shared" si="2"/>
        <v>0</v>
      </c>
    </row>
    <row r="97" spans="1:14" s="296" customFormat="1" ht="18.649999999999999" customHeight="1" x14ac:dyDescent="0.45">
      <c r="A97" s="267">
        <v>10</v>
      </c>
      <c r="B97" s="645" t="str">
        <f>'7'!B21</f>
        <v>Gestión financiera y administrativa</v>
      </c>
      <c r="C97" s="645"/>
      <c r="D97" s="645"/>
      <c r="E97" s="645"/>
      <c r="F97" s="645"/>
      <c r="G97" s="645"/>
      <c r="H97" s="654"/>
      <c r="I97" s="297">
        <f>IF('7'!E$21&lt;&gt;"",'7'!E$2,0)</f>
        <v>0</v>
      </c>
      <c r="J97" s="290">
        <f>IF('7'!F$21&lt;&gt;"",'7'!F$2,0)</f>
        <v>0</v>
      </c>
      <c r="K97" s="290">
        <f>IF('7'!G$21&lt;&gt;"",'7'!G$2,0)</f>
        <v>0</v>
      </c>
      <c r="L97" s="290">
        <f>IF('7'!H$21&lt;&gt;"",'7'!H$2,0)</f>
        <v>0</v>
      </c>
      <c r="M97" s="298">
        <f>IF('7'!I$21&lt;&gt;"",'7'!I$2,0)</f>
        <v>0</v>
      </c>
      <c r="N97" s="269">
        <f t="shared" si="2"/>
        <v>0</v>
      </c>
    </row>
    <row r="98" spans="1:14" s="296" customFormat="1" ht="18.649999999999999" customHeight="1" x14ac:dyDescent="0.45">
      <c r="A98" s="312" t="s">
        <v>761</v>
      </c>
      <c r="B98" s="657" t="s">
        <v>762</v>
      </c>
      <c r="C98" s="657"/>
      <c r="D98" s="657"/>
      <c r="E98" s="657"/>
      <c r="F98" s="657"/>
      <c r="G98" s="657"/>
      <c r="H98" s="657"/>
      <c r="I98" s="313"/>
      <c r="J98" s="313"/>
      <c r="K98" s="313"/>
      <c r="L98" s="313"/>
      <c r="M98" s="313"/>
      <c r="N98" s="314">
        <f>AVERAGEIFS($I$99:$M$113,$I$99:$M$113,"&lt;&gt;0")</f>
        <v>4.2</v>
      </c>
    </row>
    <row r="99" spans="1:14" s="296" customFormat="1" ht="18.649999999999999" customHeight="1" x14ac:dyDescent="0.45">
      <c r="A99" s="267">
        <v>1</v>
      </c>
      <c r="B99" s="650" t="str">
        <f>'8'!B3</f>
        <v>Costo logístico nacional</v>
      </c>
      <c r="C99" s="650"/>
      <c r="D99" s="650"/>
      <c r="E99" s="650"/>
      <c r="F99" s="650"/>
      <c r="G99" s="650"/>
      <c r="H99" s="650"/>
      <c r="I99" s="315">
        <f>IF('8'!E$3&lt;&gt;"",'8'!E$2,0)</f>
        <v>0</v>
      </c>
      <c r="J99" s="315">
        <f>IF('8'!F$3&lt;&gt;"",'8'!F$2,0)</f>
        <v>0</v>
      </c>
      <c r="K99" s="315">
        <f>IF('8'!G$3&lt;&gt;"",'8'!G$2,0)</f>
        <v>0</v>
      </c>
      <c r="L99" s="315">
        <f>IF('8'!H$3&lt;&gt;"",'8'!H$2,0)</f>
        <v>0</v>
      </c>
      <c r="M99" s="315">
        <f>IF('8'!I$3&lt;&gt;"",'8'!I$2,0)</f>
        <v>5</v>
      </c>
      <c r="N99" s="316">
        <f>SUM(I99:M99)</f>
        <v>5</v>
      </c>
    </row>
    <row r="100" spans="1:14" s="296" customFormat="1" ht="18.649999999999999" customHeight="1" x14ac:dyDescent="0.45">
      <c r="A100" s="267">
        <v>2</v>
      </c>
      <c r="B100" s="652" t="str">
        <f>'8'!B5</f>
        <v>Costo logístico comercio exterior</v>
      </c>
      <c r="C100" s="652"/>
      <c r="D100" s="652"/>
      <c r="E100" s="652"/>
      <c r="F100" s="652"/>
      <c r="G100" s="652"/>
      <c r="H100" s="652"/>
      <c r="I100" s="315">
        <f>IF('8'!E$5 ="NA","NA",IF('8'!E$5&lt;&gt;"",'8'!E$2,0))</f>
        <v>0</v>
      </c>
      <c r="J100" s="315" t="str">
        <f>IF('8'!F$5 ="NA","NA",IF('8'!F$5&lt;&gt;"",'8'!F$2,0))</f>
        <v>NA</v>
      </c>
      <c r="K100" s="315">
        <f>IF('8'!G$5 ="NA","NA",IF('8'!G$5&lt;&gt;"",'8'!G$2,0))</f>
        <v>0</v>
      </c>
      <c r="L100" s="315">
        <f>IF('8'!H$5 ="NA","NA",IF('8'!H$5&lt;&gt;"",'8'!H$2,0))</f>
        <v>0</v>
      </c>
      <c r="M100" s="315">
        <f>IF('8'!I$5 ="NA","NA",IF('8'!I$5&lt;&gt;"",'8'!I$2,0))</f>
        <v>0</v>
      </c>
      <c r="N100" s="316">
        <f t="shared" ref="N100:N121" si="3">SUM(I100:M100)</f>
        <v>0</v>
      </c>
    </row>
    <row r="101" spans="1:14" s="296" customFormat="1" ht="18.649999999999999" customHeight="1" x14ac:dyDescent="0.45">
      <c r="A101" s="267">
        <v>3</v>
      </c>
      <c r="B101" s="652" t="str">
        <f>'8'!B7</f>
        <v>Tiempo de cargue y descargue</v>
      </c>
      <c r="C101" s="652"/>
      <c r="D101" s="652"/>
      <c r="E101" s="652"/>
      <c r="F101" s="652"/>
      <c r="G101" s="652"/>
      <c r="H101" s="652"/>
      <c r="I101" s="315">
        <f>IF('8'!E$7 ="NA","NA",IF('8'!E$7&lt;&gt;"",'8'!E$2,0))</f>
        <v>0</v>
      </c>
      <c r="J101" s="315" t="str">
        <f>IF('8'!F$7 ="NA","NA",IF('8'!F$7&lt;&gt;"",'8'!F$2,0))</f>
        <v>NA</v>
      </c>
      <c r="K101" s="315">
        <f>IF('8'!G$7 ="NA","NA",IF('8'!G$7&lt;&gt;"",'8'!G$2,0))</f>
        <v>0</v>
      </c>
      <c r="L101" s="315">
        <f>IF('8'!H$7 ="NA","NA",IF('8'!H$7&lt;&gt;"",'8'!H$2,0))</f>
        <v>0</v>
      </c>
      <c r="M101" s="315">
        <f>IF('8'!I$7 ="NA","NA",IF('8'!I$7&lt;&gt;"",'8'!I$2,0))</f>
        <v>0</v>
      </c>
      <c r="N101" s="316">
        <f t="shared" si="3"/>
        <v>0</v>
      </c>
    </row>
    <row r="102" spans="1:14" s="296" customFormat="1" ht="18.649999999999999" customHeight="1" x14ac:dyDescent="0.45">
      <c r="A102" s="267"/>
      <c r="B102" s="652"/>
      <c r="C102" s="652"/>
      <c r="D102" s="652"/>
      <c r="E102" s="652"/>
      <c r="F102" s="652"/>
      <c r="G102" s="652"/>
      <c r="H102" s="652"/>
      <c r="I102" s="315">
        <f>IF('8'!E$9="NA","NA",IF('8'!E$9&lt;&gt;"",'8'!E$2,0))</f>
        <v>0</v>
      </c>
      <c r="J102" s="315">
        <f>IF('8'!F$9="NA","NA",IF('8'!F$9&lt;&gt;"",'8'!F$2,0))</f>
        <v>0</v>
      </c>
      <c r="K102" s="315" t="str">
        <f>IF('8'!G$9="NA","NA",IF('8'!G$9&lt;&gt;"",'8'!G$2,0))</f>
        <v>NA</v>
      </c>
      <c r="L102" s="315">
        <f>IF('8'!H$9="NA","NA",IF('8'!H$9&lt;&gt;"",'8'!H$2,0))</f>
        <v>0</v>
      </c>
      <c r="M102" s="315">
        <f>IF('8'!I$9="NA","NA",IF('8'!I$9&lt;&gt;"",'8'!I$2,0))</f>
        <v>0</v>
      </c>
      <c r="N102" s="316">
        <f t="shared" si="3"/>
        <v>0</v>
      </c>
    </row>
    <row r="103" spans="1:14" s="296" customFormat="1" ht="18.649999999999999" customHeight="1" x14ac:dyDescent="0.45">
      <c r="A103" s="317"/>
      <c r="B103" s="652"/>
      <c r="C103" s="652"/>
      <c r="D103" s="652"/>
      <c r="E103" s="652"/>
      <c r="F103" s="652"/>
      <c r="G103" s="652"/>
      <c r="H103" s="652"/>
      <c r="I103" s="315">
        <f>IF('8'!E$11 ="NA","NA",IF('8'!E$11&lt;&gt;"",'8'!E$2,0))</f>
        <v>0</v>
      </c>
      <c r="J103" s="315" t="str">
        <f>IF('8'!F$11 ="NA","NA",IF('8'!F$11&lt;&gt;"",'8'!F$2,0))</f>
        <v>NA</v>
      </c>
      <c r="K103" s="315">
        <f>IF('8'!G$11 ="NA","NA",IF('8'!G$11&lt;&gt;"",'8'!G$2,0))</f>
        <v>0</v>
      </c>
      <c r="L103" s="315">
        <f>IF('8'!H$11 ="NA","NA",IF('8'!H$11&lt;&gt;"",'8'!H$2,0))</f>
        <v>0</v>
      </c>
      <c r="M103" s="315">
        <f>IF('8'!I$11 ="NA","NA",IF('8'!I$11&lt;&gt;"",'8'!I$2,0))</f>
        <v>0</v>
      </c>
      <c r="N103" s="316">
        <f t="shared" si="3"/>
        <v>0</v>
      </c>
    </row>
    <row r="104" spans="1:14" s="296" customFormat="1" ht="18.649999999999999" customHeight="1" x14ac:dyDescent="0.45">
      <c r="A104" s="267"/>
      <c r="B104" s="652"/>
      <c r="C104" s="652"/>
      <c r="D104" s="652"/>
      <c r="E104" s="652"/>
      <c r="F104" s="652"/>
      <c r="G104" s="652"/>
      <c r="H104" s="652"/>
      <c r="I104" s="315">
        <f>IF('8'!E$13 ="NA","NA",IF('8'!E$13&lt;&gt;"",'8'!E$2,0))</f>
        <v>0</v>
      </c>
      <c r="J104" s="315" t="str">
        <f>IF('8'!F$13 ="NA","NA",IF('8'!F$13&lt;&gt;"",'8'!F$2,0))</f>
        <v>NA</v>
      </c>
      <c r="K104" s="315">
        <f>IF('8'!G$13 ="NA","NA",IF('8'!G$13&lt;&gt;"",'8'!G$2,0))</f>
        <v>0</v>
      </c>
      <c r="L104" s="315">
        <f>IF('8'!H$13 ="NA","NA",IF('8'!H$13&lt;&gt;"",'8'!H$2,0))</f>
        <v>0</v>
      </c>
      <c r="M104" s="315">
        <f>IF('8'!I$13 ="NA","NA",IF('8'!I$13&lt;&gt;"",'8'!I$2,0))</f>
        <v>0</v>
      </c>
      <c r="N104" s="316">
        <f t="shared" si="3"/>
        <v>0</v>
      </c>
    </row>
    <row r="105" spans="1:14" s="296" customFormat="1" ht="18.649999999999999" customHeight="1" x14ac:dyDescent="0.45">
      <c r="A105" s="308">
        <v>4</v>
      </c>
      <c r="B105" s="650" t="str">
        <f>'8'!B15</f>
        <v>Tiempo de abastecimiento y distribución</v>
      </c>
      <c r="C105" s="650"/>
      <c r="D105" s="650"/>
      <c r="E105" s="650"/>
      <c r="F105" s="650"/>
      <c r="G105" s="650"/>
      <c r="H105" s="650"/>
      <c r="I105" s="315">
        <f>IF('8'!E$15&lt;&gt;"",'8'!E$2,0)</f>
        <v>0</v>
      </c>
      <c r="J105" s="315">
        <f>IF('8'!F$15&lt;&gt;"",'8'!F$2,0)</f>
        <v>0</v>
      </c>
      <c r="K105" s="315">
        <f>IF('8'!G$15&lt;&gt;"",'8'!G$2,0)</f>
        <v>0</v>
      </c>
      <c r="L105" s="315">
        <f>IF('8'!H$15&lt;&gt;"",'8'!H$2,0)</f>
        <v>0</v>
      </c>
      <c r="M105" s="315">
        <f>IF('8'!I$15&lt;&gt;"",'8'!I$2,0)</f>
        <v>0</v>
      </c>
      <c r="N105" s="316">
        <f t="shared" si="3"/>
        <v>0</v>
      </c>
    </row>
    <row r="106" spans="1:14" s="296" customFormat="1" ht="18.649999999999999" customHeight="1" x14ac:dyDescent="0.45">
      <c r="A106" s="267"/>
      <c r="B106" s="652"/>
      <c r="C106" s="652"/>
      <c r="D106" s="652"/>
      <c r="E106" s="652"/>
      <c r="F106" s="652"/>
      <c r="G106" s="652"/>
      <c r="H106" s="652"/>
      <c r="I106" s="315">
        <f>IF('8'!E$17 ="NA","NA",IF('8'!E$17&lt;&gt;"",'8'!E$2,0))</f>
        <v>0</v>
      </c>
      <c r="J106" s="315" t="str">
        <f>IF('8'!F$17 ="NA","NA",IF('8'!F$17&lt;&gt;"",'8'!F$2,0))</f>
        <v>NA</v>
      </c>
      <c r="K106" s="315">
        <f>IF('8'!G$17 ="NA","NA",IF('8'!G$17&lt;&gt;"",'8'!G$2,0))</f>
        <v>0</v>
      </c>
      <c r="L106" s="315">
        <f>IF('8'!H$17 ="NA","NA",IF('8'!H$17&lt;&gt;"",'8'!H$2,0))</f>
        <v>0</v>
      </c>
      <c r="M106" s="315">
        <f>IF('8'!I$17 ="NA","NA",IF('8'!I$17&lt;&gt;"",'8'!I$2,0))</f>
        <v>0</v>
      </c>
      <c r="N106" s="316">
        <f t="shared" si="3"/>
        <v>0</v>
      </c>
    </row>
    <row r="107" spans="1:14" s="296" customFormat="1" ht="18.649999999999999" customHeight="1" x14ac:dyDescent="0.45">
      <c r="A107" s="267">
        <v>5</v>
      </c>
      <c r="B107" s="652" t="str">
        <f>'8'!B19</f>
        <v>Costos internos y externos de No-calidad</v>
      </c>
      <c r="C107" s="652"/>
      <c r="D107" s="652"/>
      <c r="E107" s="652"/>
      <c r="F107" s="652"/>
      <c r="G107" s="652"/>
      <c r="H107" s="652"/>
      <c r="I107" s="315">
        <f>IF('8'!E$19 ="NA","NA",IF('8'!E$19&lt;&gt;"",'8'!E$2,0))</f>
        <v>0</v>
      </c>
      <c r="J107" s="315" t="str">
        <f>IF('8'!F$19 ="NA","NA",IF('8'!F$19&lt;&gt;"",'8'!F$2,0))</f>
        <v>NA</v>
      </c>
      <c r="K107" s="315">
        <f>IF('8'!G$19 ="NA","NA",IF('8'!G$19&lt;&gt;"",'8'!G$2,0))</f>
        <v>0</v>
      </c>
      <c r="L107" s="315">
        <f>IF('8'!H$19 ="NA","NA",IF('8'!H$19&lt;&gt;"",'8'!H$2,0))</f>
        <v>0</v>
      </c>
      <c r="M107" s="315">
        <f>IF('8'!I$19 ="NA","NA",IF('8'!I$19&lt;&gt;"",'8'!I$2,0))</f>
        <v>0</v>
      </c>
      <c r="N107" s="316">
        <f t="shared" si="3"/>
        <v>0</v>
      </c>
    </row>
    <row r="108" spans="1:14" s="296" customFormat="1" ht="18.649999999999999" customHeight="1" x14ac:dyDescent="0.45">
      <c r="A108" s="267">
        <v>6</v>
      </c>
      <c r="B108" s="652" t="str">
        <f>'8'!B21</f>
        <v>Gestión de los costos totales de entrega</v>
      </c>
      <c r="C108" s="652"/>
      <c r="D108" s="652"/>
      <c r="E108" s="652"/>
      <c r="F108" s="652"/>
      <c r="G108" s="652"/>
      <c r="H108" s="652"/>
      <c r="I108" s="315">
        <f>IF('8'!E$21 ="NA","NA",IF('8'!E$21&lt;&gt;"",'8'!E$2,0))</f>
        <v>0</v>
      </c>
      <c r="J108" s="315" t="str">
        <f>IF('8'!F$21 ="NA","NA",IF('8'!F$21&lt;&gt;"",'8'!F$2,0))</f>
        <v>NA</v>
      </c>
      <c r="K108" s="315">
        <f>IF('8'!G$21 ="NA","NA",IF('8'!G$21&lt;&gt;"",'8'!G$2,0))</f>
        <v>0</v>
      </c>
      <c r="L108" s="315">
        <f>IF('8'!H$21 ="NA","NA",IF('8'!H$21&lt;&gt;"",'8'!H$2,0))</f>
        <v>0</v>
      </c>
      <c r="M108" s="315">
        <f>IF('8'!I$21 ="NA","NA",IF('8'!I$21&lt;&gt;"",'8'!I$2,0))</f>
        <v>0</v>
      </c>
      <c r="N108" s="316">
        <f t="shared" si="3"/>
        <v>0</v>
      </c>
    </row>
    <row r="109" spans="1:14" s="296" customFormat="1" ht="18.649999999999999" customHeight="1" x14ac:dyDescent="0.45">
      <c r="A109" s="267">
        <v>7</v>
      </c>
      <c r="B109" s="650" t="str">
        <f>'8'!B23</f>
        <v>Automatización de procesos logísticos</v>
      </c>
      <c r="C109" s="650"/>
      <c r="D109" s="650"/>
      <c r="E109" s="650"/>
      <c r="F109" s="650"/>
      <c r="G109" s="650"/>
      <c r="H109" s="650"/>
      <c r="I109" s="315">
        <f>IF('8'!E$23&lt;&gt;"",'8'!E$2,0)</f>
        <v>0</v>
      </c>
      <c r="J109" s="315">
        <f>IF('8'!F$23&lt;&gt;"",'8'!F$2,0)</f>
        <v>0</v>
      </c>
      <c r="K109" s="315">
        <f>IF('8'!G$23&lt;&gt;"",'8'!G$2,0)</f>
        <v>0</v>
      </c>
      <c r="L109" s="315">
        <f>IF('8'!H$23&lt;&gt;"",'8'!H$2,0)</f>
        <v>0</v>
      </c>
      <c r="M109" s="315">
        <f>IF('8'!I$23&lt;&gt;"",'8'!I$2,0)</f>
        <v>5</v>
      </c>
      <c r="N109" s="316">
        <f t="shared" si="3"/>
        <v>5</v>
      </c>
    </row>
    <row r="110" spans="1:14" s="296" customFormat="1" ht="18.649999999999999" customHeight="1" x14ac:dyDescent="0.45">
      <c r="A110" s="267">
        <v>8</v>
      </c>
      <c r="B110" s="652" t="str">
        <f>'8'!B25</f>
        <v xml:space="preserve">Qué tan importante es el pronóstico para la planeación logística </v>
      </c>
      <c r="C110" s="652"/>
      <c r="D110" s="652"/>
      <c r="E110" s="652"/>
      <c r="F110" s="652"/>
      <c r="G110" s="652"/>
      <c r="H110" s="652"/>
      <c r="I110" s="315">
        <f>IF('8'!E$25 ="NA","NA",IF('8'!E$25&lt;&gt;"",'8'!E$2,0))</f>
        <v>0</v>
      </c>
      <c r="J110" s="315" t="str">
        <f>IF('8'!F$25 ="NA","NA",IF('8'!F$25&lt;&gt;"",'8'!F$2,0))</f>
        <v>NA</v>
      </c>
      <c r="K110" s="315">
        <f>IF('8'!G$25 ="NA","NA",IF('8'!G$25&lt;&gt;"",'8'!G$2,0))</f>
        <v>0</v>
      </c>
      <c r="L110" s="315">
        <f>IF('8'!H$25 ="NA","NA",IF('8'!H$25&lt;&gt;"",'8'!H$2,0))</f>
        <v>0</v>
      </c>
      <c r="M110" s="315">
        <f>IF('8'!I$25 ="NA","NA",IF('8'!I$25&lt;&gt;"",'8'!I$2,0))</f>
        <v>0</v>
      </c>
      <c r="N110" s="316">
        <f t="shared" si="3"/>
        <v>0</v>
      </c>
    </row>
    <row r="111" spans="1:14" s="296" customFormat="1" ht="18.649999999999999" customHeight="1" x14ac:dyDescent="0.45">
      <c r="A111" s="267">
        <v>9</v>
      </c>
      <c r="B111" s="653" t="str">
        <f>'8'!B27</f>
        <v>Cuál es el alcance de la participación del proveedor de bienes y servicios en los eventos Kaizen</v>
      </c>
      <c r="C111" s="653"/>
      <c r="D111" s="653"/>
      <c r="E111" s="653"/>
      <c r="F111" s="653"/>
      <c r="G111" s="653"/>
      <c r="H111" s="653"/>
      <c r="I111" s="282">
        <f>IF('8'!E$27&lt;&gt;"",'8'!E$2,0)</f>
        <v>0</v>
      </c>
      <c r="J111" s="282">
        <f>IF('8'!F$27&lt;&gt;"",'8'!F$2,0)</f>
        <v>0</v>
      </c>
      <c r="K111" s="282">
        <f>IF('8'!G$27&lt;&gt;"",'8'!G$2,0)</f>
        <v>0</v>
      </c>
      <c r="L111" s="282">
        <f>IF('8'!H$27&lt;&gt;"",'8'!H$2,0)</f>
        <v>0</v>
      </c>
      <c r="M111" s="282">
        <f>IF('8'!I$27&lt;&gt;"",'8'!I$2,0)</f>
        <v>5</v>
      </c>
      <c r="N111" s="316">
        <f t="shared" si="3"/>
        <v>5</v>
      </c>
    </row>
    <row r="112" spans="1:14" s="296" customFormat="1" ht="18.649999999999999" customHeight="1" x14ac:dyDescent="0.45">
      <c r="A112" s="267">
        <v>10</v>
      </c>
      <c r="B112" s="650" t="str">
        <f>'8'!B29</f>
        <v>Cómo selecciona los proveedores</v>
      </c>
      <c r="C112" s="650"/>
      <c r="D112" s="650"/>
      <c r="E112" s="650"/>
      <c r="F112" s="650"/>
      <c r="G112" s="650"/>
      <c r="H112" s="650"/>
      <c r="I112" s="315">
        <f>IF('8'!E$29&lt;&gt;"",'8'!E$2,0)</f>
        <v>0</v>
      </c>
      <c r="J112" s="315">
        <f>IF('8'!F$29&lt;&gt;"",'8'!F$2,0)</f>
        <v>0</v>
      </c>
      <c r="K112" s="315">
        <f>IF('8'!G$29&lt;&gt;"",'8'!G$2,0)</f>
        <v>0</v>
      </c>
      <c r="L112" s="315">
        <f>IF('8'!H$29&lt;&gt;"",'8'!H$2,0)</f>
        <v>0</v>
      </c>
      <c r="M112" s="315">
        <f>IF('8'!I$29&lt;&gt;"",'8'!I$2,0)</f>
        <v>5</v>
      </c>
      <c r="N112" s="316">
        <f t="shared" si="3"/>
        <v>5</v>
      </c>
    </row>
    <row r="113" spans="1:14" s="296" customFormat="1" ht="18.649999999999999" customHeight="1" x14ac:dyDescent="0.45">
      <c r="A113" s="267">
        <v>11</v>
      </c>
      <c r="B113" s="650" t="str">
        <f>'8'!B31</f>
        <v>Nivel de Servicio.
 Pedido perfecto</v>
      </c>
      <c r="C113" s="650"/>
      <c r="D113" s="650"/>
      <c r="E113" s="650"/>
      <c r="F113" s="650"/>
      <c r="G113" s="650"/>
      <c r="H113" s="650"/>
      <c r="I113" s="315">
        <f>IF('8'!E$31&lt;&gt;"",'8'!E$2,0)</f>
        <v>1</v>
      </c>
      <c r="J113" s="315">
        <f>IF('8'!F$31&lt;&gt;"",'8'!F$2,0)</f>
        <v>0</v>
      </c>
      <c r="K113" s="315">
        <f>IF('8'!G$31&lt;&gt;"",'8'!G$2,0)</f>
        <v>0</v>
      </c>
      <c r="L113" s="315">
        <f>IF('8'!H$31&lt;&gt;"",'8'!H$2,0)</f>
        <v>0</v>
      </c>
      <c r="M113" s="315">
        <f>IF('8'!I$31&lt;&gt;"",'8'!I$2,0)</f>
        <v>0</v>
      </c>
      <c r="N113" s="316">
        <f t="shared" si="3"/>
        <v>1</v>
      </c>
    </row>
    <row r="114" spans="1:14" s="296" customFormat="1" ht="18.649999999999999" customHeight="1" x14ac:dyDescent="0.45">
      <c r="A114" s="270" t="s">
        <v>763</v>
      </c>
      <c r="B114" s="651" t="s">
        <v>764</v>
      </c>
      <c r="C114" s="651"/>
      <c r="D114" s="651"/>
      <c r="E114" s="651"/>
      <c r="F114" s="651"/>
      <c r="G114" s="651"/>
      <c r="H114" s="651"/>
      <c r="I114" s="318"/>
      <c r="J114" s="318"/>
      <c r="K114" s="318"/>
      <c r="L114" s="318"/>
      <c r="M114" s="318"/>
      <c r="N114" s="319">
        <f>AVERAGEIFS($I$115:$M$122,$I$115:$M$122,"&lt;&gt;0")</f>
        <v>5</v>
      </c>
    </row>
    <row r="115" spans="1:14" s="296" customFormat="1" ht="18.649999999999999" customHeight="1" x14ac:dyDescent="0.45">
      <c r="A115" s="267">
        <v>1</v>
      </c>
      <c r="B115" s="645" t="str">
        <f>'9'!B3</f>
        <v>Costos gestión residuos y vertimientos</v>
      </c>
      <c r="C115" s="645"/>
      <c r="D115" s="645"/>
      <c r="E115" s="645"/>
      <c r="F115" s="645"/>
      <c r="G115" s="645"/>
      <c r="H115" s="645"/>
      <c r="I115" s="315">
        <f>IF('9'!E$3&lt;&gt;"",'9'!E$2,0)</f>
        <v>0</v>
      </c>
      <c r="J115" s="315">
        <f>IF('9'!F$3&lt;&gt;"",'9'!F$2,0)</f>
        <v>0</v>
      </c>
      <c r="K115" s="315">
        <f>IF('9'!G$3&lt;&gt;"",'9'!G$2,0)</f>
        <v>0</v>
      </c>
      <c r="L115" s="315">
        <f>IF('9'!H$3&lt;&gt;"",'9'!H$2,0)</f>
        <v>0</v>
      </c>
      <c r="M115" s="315">
        <f>IF('9'!I$3&lt;&gt;"",'9'!I$2,0)</f>
        <v>5</v>
      </c>
      <c r="N115" s="316">
        <f t="shared" si="3"/>
        <v>5</v>
      </c>
    </row>
    <row r="116" spans="1:14" s="296" customFormat="1" ht="18.649999999999999" customHeight="1" x14ac:dyDescent="0.45">
      <c r="A116" s="267">
        <v>2</v>
      </c>
      <c r="B116" s="652" t="str">
        <f>'9'!B5</f>
        <v>Eficiencia de recursos</v>
      </c>
      <c r="C116" s="652"/>
      <c r="D116" s="652"/>
      <c r="E116" s="652"/>
      <c r="F116" s="652"/>
      <c r="G116" s="652"/>
      <c r="H116" s="652"/>
      <c r="I116" s="315">
        <f>IF('9'!E$5 ="NA","NA",IF('9'!E$5&lt;&gt;"",'9'!E$2,0))</f>
        <v>0</v>
      </c>
      <c r="J116" s="315">
        <f>IF('9'!F$5 ="NA","NA",IF('9'!F$5&lt;&gt;"",'9'!F$2,0))</f>
        <v>0</v>
      </c>
      <c r="K116" s="315">
        <f>IF('9'!G$5 ="NA","NA",IF('9'!G$5&lt;&gt;"",'9'!G$2,0))</f>
        <v>0</v>
      </c>
      <c r="L116" s="315" t="str">
        <f>IF('9'!H$5 ="NA","NA",IF('9'!H$5&lt;&gt;"",'9'!H$2,0))</f>
        <v>NA</v>
      </c>
      <c r="M116" s="315">
        <f>IF('9'!I$5 ="NA","NA",IF('9'!I$5&lt;&gt;"",'9'!I$2,0))</f>
        <v>0</v>
      </c>
      <c r="N116" s="316">
        <f t="shared" si="3"/>
        <v>0</v>
      </c>
    </row>
    <row r="117" spans="1:14" s="296" customFormat="1" ht="18.649999999999999" customHeight="1" x14ac:dyDescent="0.45">
      <c r="A117" s="267">
        <v>3</v>
      </c>
      <c r="B117" s="645" t="str">
        <f>'9'!B7</f>
        <v>Compromiso ambiental</v>
      </c>
      <c r="C117" s="645"/>
      <c r="D117" s="645"/>
      <c r="E117" s="645"/>
      <c r="F117" s="645"/>
      <c r="G117" s="645"/>
      <c r="H117" s="645"/>
      <c r="I117" s="315">
        <f>IF('9'!E$7&lt;&gt;"",'9'!E$2,0)</f>
        <v>0</v>
      </c>
      <c r="J117" s="315">
        <f>IF('9'!F$7&lt;&gt;"",'9'!F$2,0)</f>
        <v>0</v>
      </c>
      <c r="K117" s="315">
        <f>IF('9'!G$7&lt;&gt;"",'9'!G$2,0)</f>
        <v>0</v>
      </c>
      <c r="L117" s="315">
        <f>IF('9'!H$7&lt;&gt;"",'9'!H$2,0)</f>
        <v>0</v>
      </c>
      <c r="M117" s="315">
        <f>IF('9'!I$7&lt;&gt;"",'9'!I$2,0)</f>
        <v>5</v>
      </c>
      <c r="N117" s="316">
        <f t="shared" si="3"/>
        <v>5</v>
      </c>
    </row>
    <row r="118" spans="1:14" s="296" customFormat="1" ht="18.649999999999999" customHeight="1" x14ac:dyDescent="0.45">
      <c r="A118" s="317">
        <v>4</v>
      </c>
      <c r="B118" s="645" t="str">
        <f>'9'!B9</f>
        <v>Movilización de recursos financieros</v>
      </c>
      <c r="C118" s="645"/>
      <c r="D118" s="645"/>
      <c r="E118" s="645"/>
      <c r="F118" s="645"/>
      <c r="G118" s="645"/>
      <c r="H118" s="645"/>
      <c r="I118" s="315">
        <f>IF('9'!E$9&lt;&gt;"",'9'!E$2,0)</f>
        <v>0</v>
      </c>
      <c r="J118" s="315">
        <f>IF('9'!F$9&lt;&gt;"",'9'!F$2,0)</f>
        <v>0</v>
      </c>
      <c r="K118" s="315">
        <f>IF('9'!G$9&lt;&gt;"",'9'!G$2,0)</f>
        <v>0</v>
      </c>
      <c r="L118" s="315">
        <f>IF('9'!H$9&lt;&gt;"",'9'!H$2,0)</f>
        <v>0</v>
      </c>
      <c r="M118" s="315">
        <f>IF('9'!I$9&lt;&gt;"",'9'!I$2,0)</f>
        <v>5</v>
      </c>
      <c r="N118" s="316">
        <f t="shared" si="3"/>
        <v>5</v>
      </c>
    </row>
    <row r="119" spans="1:14" s="296" customFormat="1" ht="18.649999999999999" customHeight="1" x14ac:dyDescent="0.45">
      <c r="A119" s="308">
        <v>5</v>
      </c>
      <c r="B119" s="646" t="str">
        <f>'9'!B11</f>
        <v>Análisis de la cadena de valor</v>
      </c>
      <c r="C119" s="646"/>
      <c r="D119" s="646"/>
      <c r="E119" s="646"/>
      <c r="F119" s="646"/>
      <c r="G119" s="646"/>
      <c r="H119" s="646"/>
      <c r="I119" s="320">
        <f>IF('9'!E$11&lt;&gt;"",'9'!E$2,0)</f>
        <v>0</v>
      </c>
      <c r="J119" s="320">
        <f>IF('9'!F$11&lt;&gt;"",'9'!F$2,0)</f>
        <v>0</v>
      </c>
      <c r="K119" s="320">
        <f>IF('9'!G$11&lt;&gt;"",'9'!G$2,0)</f>
        <v>0</v>
      </c>
      <c r="L119" s="320">
        <f>IF('9'!H$11&lt;&gt;"",'9'!H$2,0)</f>
        <v>0</v>
      </c>
      <c r="M119" s="320">
        <f>IF('9'!I$11&lt;&gt;"",'9'!I$2,0)</f>
        <v>5</v>
      </c>
      <c r="N119" s="316">
        <f t="shared" si="3"/>
        <v>5</v>
      </c>
    </row>
    <row r="120" spans="1:14" s="296" customFormat="1" ht="18.649999999999999" customHeight="1" x14ac:dyDescent="0.45">
      <c r="A120" s="267">
        <v>6</v>
      </c>
      <c r="B120" s="645" t="str">
        <f>'9'!B13</f>
        <v xml:space="preserve">Ecodiseño y ciclo de vida del producto
</v>
      </c>
      <c r="C120" s="645"/>
      <c r="D120" s="645"/>
      <c r="E120" s="645"/>
      <c r="F120" s="645"/>
      <c r="G120" s="645"/>
      <c r="H120" s="645"/>
      <c r="I120" s="315">
        <f>IF('9'!E$13&lt;&gt;"",'9'!E$2,0)</f>
        <v>0</v>
      </c>
      <c r="J120" s="315">
        <f>IF('9'!F$13&lt;&gt;"",'9'!F$2,0)</f>
        <v>0</v>
      </c>
      <c r="K120" s="315">
        <f>IF('9'!G$13&lt;&gt;"",'9'!G$2,0)</f>
        <v>0</v>
      </c>
      <c r="L120" s="315">
        <f>IF('9'!H$13&lt;&gt;"",'9'!H$2,0)</f>
        <v>0</v>
      </c>
      <c r="M120" s="315">
        <f>IF('9'!I$13&lt;&gt;"",'9'!I$2,0)</f>
        <v>0</v>
      </c>
      <c r="N120" s="316">
        <f t="shared" si="3"/>
        <v>0</v>
      </c>
    </row>
    <row r="121" spans="1:14" s="296" customFormat="1" ht="18.649999999999999" customHeight="1" x14ac:dyDescent="0.45">
      <c r="A121" s="288">
        <v>7</v>
      </c>
      <c r="B121" s="647" t="str">
        <f>'9'!B15</f>
        <v>Monitoreo y seguimiento</v>
      </c>
      <c r="C121" s="647"/>
      <c r="D121" s="647"/>
      <c r="E121" s="647"/>
      <c r="F121" s="647"/>
      <c r="G121" s="647"/>
      <c r="H121" s="647"/>
      <c r="I121" s="321">
        <f>IF('9'!E$15&lt;&gt;"",'9'!E$2,0)</f>
        <v>0</v>
      </c>
      <c r="J121" s="321">
        <f>IF('9'!F$15&lt;&gt;"",'9'!F$2,0)</f>
        <v>0</v>
      </c>
      <c r="K121" s="321">
        <f>IF('9'!G$15&lt;&gt;"",'9'!G$2,0)</f>
        <v>0</v>
      </c>
      <c r="L121" s="321">
        <f>IF('9'!H$15&lt;&gt;"",'9'!H$2,0)</f>
        <v>0</v>
      </c>
      <c r="M121" s="321">
        <f>IF('9'!I$15&lt;&gt;"",'9'!I$2,0)</f>
        <v>5</v>
      </c>
      <c r="N121" s="316">
        <f t="shared" si="3"/>
        <v>5</v>
      </c>
    </row>
    <row r="122" spans="1:14" s="296" customFormat="1" ht="18.649999999999999" customHeight="1" x14ac:dyDescent="0.45">
      <c r="A122" s="322">
        <v>8</v>
      </c>
      <c r="B122" s="647" t="str">
        <f>'9'!B17</f>
        <v>Comunicación</v>
      </c>
      <c r="I122" s="321">
        <f>IF('9'!E$17&lt;&gt;"",'9'!E$2,0)</f>
        <v>0</v>
      </c>
      <c r="J122" s="321">
        <f>IF('9'!F$17&lt;&gt;"",'9'!F$2,0)</f>
        <v>0</v>
      </c>
      <c r="K122" s="321">
        <f>IF('9'!G$17&lt;&gt;"",'9'!G$2,0)</f>
        <v>0</v>
      </c>
      <c r="L122" s="321">
        <f>IF('9'!H$17&lt;&gt;"",'9'!H$2,0)</f>
        <v>0</v>
      </c>
      <c r="M122" s="321">
        <f>IF('9'!I$17&lt;&gt;"",'9'!I$2,0)</f>
        <v>5</v>
      </c>
      <c r="N122" s="316">
        <f t="shared" ref="N122" si="4">SUM(I122:M122)</f>
        <v>5</v>
      </c>
    </row>
    <row r="123" spans="1:14" s="296" customFormat="1" ht="18.649999999999999" customHeight="1" x14ac:dyDescent="0.45">
      <c r="A123" s="322"/>
    </row>
    <row r="124" spans="1:14" s="296" customFormat="1" ht="18.649999999999999" customHeight="1" x14ac:dyDescent="0.45">
      <c r="A124" s="323" t="s">
        <v>734</v>
      </c>
      <c r="B124" s="648" t="s">
        <v>765</v>
      </c>
      <c r="C124" s="335"/>
      <c r="D124" s="335"/>
      <c r="E124" s="335"/>
      <c r="F124" s="335"/>
      <c r="G124" s="335"/>
      <c r="H124" s="335"/>
      <c r="I124" s="649"/>
      <c r="J124" s="324" t="s">
        <v>737</v>
      </c>
      <c r="K124" s="324" t="s">
        <v>766</v>
      </c>
      <c r="L124" s="325" t="s">
        <v>767</v>
      </c>
      <c r="M124" s="322"/>
      <c r="N124" s="322"/>
    </row>
    <row r="125" spans="1:14" s="296" customFormat="1" ht="18.649999999999999" customHeight="1" x14ac:dyDescent="0.45">
      <c r="A125" s="326">
        <v>1</v>
      </c>
      <c r="B125" s="535" t="str">
        <f>B8</f>
        <v>Gestión comercial</v>
      </c>
      <c r="C125" s="256"/>
      <c r="D125" s="256"/>
      <c r="E125" s="256"/>
      <c r="F125" s="256"/>
      <c r="G125" s="256"/>
      <c r="H125" s="256"/>
      <c r="I125" s="537"/>
      <c r="J125" s="327">
        <f>N8</f>
        <v>2.5</v>
      </c>
      <c r="K125" s="327">
        <v>5</v>
      </c>
      <c r="L125" s="328">
        <f>(K125-J125)/K125</f>
        <v>0.5</v>
      </c>
      <c r="M125" s="322"/>
      <c r="N125" s="322"/>
    </row>
    <row r="126" spans="1:14" s="296" customFormat="1" ht="18.649999999999999" customHeight="1" x14ac:dyDescent="0.45">
      <c r="A126" s="329">
        <v>2</v>
      </c>
      <c r="B126" s="642" t="str">
        <f>B15</f>
        <v>Productividad operacional</v>
      </c>
      <c r="C126" s="643"/>
      <c r="D126" s="643"/>
      <c r="E126" s="643"/>
      <c r="F126" s="643"/>
      <c r="G126" s="643"/>
      <c r="H126" s="643"/>
      <c r="I126" s="644"/>
      <c r="J126" s="330">
        <f>N15</f>
        <v>2</v>
      </c>
      <c r="K126" s="330">
        <v>5</v>
      </c>
      <c r="L126" s="331">
        <f t="shared" ref="L126:L133" si="5">(K126-J126)/K126</f>
        <v>0.6</v>
      </c>
      <c r="M126" s="322"/>
      <c r="N126" s="322"/>
    </row>
    <row r="127" spans="1:14" s="296" customFormat="1" ht="18.649999999999999" customHeight="1" x14ac:dyDescent="0.45">
      <c r="A127" s="326">
        <v>3</v>
      </c>
      <c r="B127" s="535" t="str">
        <f>B39</f>
        <v>Productividad laboral</v>
      </c>
      <c r="C127" s="256"/>
      <c r="D127" s="256"/>
      <c r="E127" s="256"/>
      <c r="F127" s="256"/>
      <c r="G127" s="256"/>
      <c r="H127" s="256"/>
      <c r="I127" s="537"/>
      <c r="J127" s="327">
        <f>N39</f>
        <v>0</v>
      </c>
      <c r="K127" s="327">
        <v>5</v>
      </c>
      <c r="L127" s="328">
        <f t="shared" si="5"/>
        <v>1</v>
      </c>
      <c r="M127" s="322"/>
      <c r="N127" s="322"/>
    </row>
    <row r="128" spans="1:14" s="296" customFormat="1" ht="18.649999999999999" customHeight="1" x14ac:dyDescent="0.45">
      <c r="A128" s="329">
        <v>4</v>
      </c>
      <c r="B128" s="642" t="str">
        <f>B55</f>
        <v>Eficiencia energética</v>
      </c>
      <c r="C128" s="643"/>
      <c r="D128" s="643"/>
      <c r="E128" s="643"/>
      <c r="F128" s="643"/>
      <c r="G128" s="643"/>
      <c r="H128" s="643"/>
      <c r="I128" s="644"/>
      <c r="J128" s="330">
        <f>N55</f>
        <v>4.6363636363636367</v>
      </c>
      <c r="K128" s="330">
        <v>5</v>
      </c>
      <c r="L128" s="331">
        <f t="shared" si="5"/>
        <v>7.2727272727272668E-2</v>
      </c>
    </row>
    <row r="129" spans="1:12" s="296" customFormat="1" ht="18.649999999999999" customHeight="1" x14ac:dyDescent="0.45">
      <c r="A129" s="326">
        <v>5</v>
      </c>
      <c r="B129" s="535" t="str">
        <f>B68</f>
        <v>Gestión de la calidad</v>
      </c>
      <c r="C129" s="256"/>
      <c r="D129" s="256"/>
      <c r="E129" s="256"/>
      <c r="F129" s="256"/>
      <c r="G129" s="256"/>
      <c r="H129" s="256"/>
      <c r="I129" s="537"/>
      <c r="J129" s="327">
        <f>N68</f>
        <v>1</v>
      </c>
      <c r="K129" s="327">
        <v>5</v>
      </c>
      <c r="L129" s="328">
        <f t="shared" si="5"/>
        <v>0.8</v>
      </c>
    </row>
    <row r="130" spans="1:12" s="296" customFormat="1" ht="18.649999999999999" customHeight="1" x14ac:dyDescent="0.45">
      <c r="A130" s="329">
        <v>6</v>
      </c>
      <c r="B130" s="642" t="str">
        <f>B75</f>
        <v>Desarrollo y sofisticación de producto</v>
      </c>
      <c r="C130" s="643"/>
      <c r="D130" s="643"/>
      <c r="E130" s="643"/>
      <c r="F130" s="643"/>
      <c r="G130" s="643"/>
      <c r="H130" s="643"/>
      <c r="I130" s="644"/>
      <c r="J130" s="330">
        <f>N75</f>
        <v>2.3333333333333335</v>
      </c>
      <c r="K130" s="330">
        <v>5</v>
      </c>
      <c r="L130" s="331">
        <f t="shared" si="5"/>
        <v>0.53333333333333333</v>
      </c>
    </row>
    <row r="131" spans="1:12" s="296" customFormat="1" ht="18.649999999999999" customHeight="1" x14ac:dyDescent="0.45">
      <c r="A131" s="326">
        <v>7</v>
      </c>
      <c r="B131" s="535" t="str">
        <f>B87</f>
        <v>Transformación digital</v>
      </c>
      <c r="C131" s="256"/>
      <c r="D131" s="256"/>
      <c r="E131" s="256"/>
      <c r="F131" s="256"/>
      <c r="G131" s="256"/>
      <c r="H131" s="256"/>
      <c r="I131" s="537"/>
      <c r="J131" s="327">
        <f>N87</f>
        <v>3</v>
      </c>
      <c r="K131" s="327">
        <v>5</v>
      </c>
      <c r="L131" s="328">
        <f t="shared" si="5"/>
        <v>0.4</v>
      </c>
    </row>
    <row r="132" spans="1:12" s="296" customFormat="1" ht="18.649999999999999" customHeight="1" x14ac:dyDescent="0.45">
      <c r="A132" s="329">
        <v>8</v>
      </c>
      <c r="B132" s="642" t="str">
        <f>B98</f>
        <v>Gestión logística</v>
      </c>
      <c r="C132" s="643"/>
      <c r="D132" s="643"/>
      <c r="E132" s="643"/>
      <c r="F132" s="643"/>
      <c r="G132" s="643"/>
      <c r="H132" s="643"/>
      <c r="I132" s="644"/>
      <c r="J132" s="330">
        <f>N98</f>
        <v>4.2</v>
      </c>
      <c r="K132" s="330">
        <v>5</v>
      </c>
      <c r="L132" s="331">
        <f t="shared" si="5"/>
        <v>0.15999999999999998</v>
      </c>
    </row>
    <row r="133" spans="1:12" s="296" customFormat="1" ht="18.649999999999999" customHeight="1" x14ac:dyDescent="0.45">
      <c r="A133" s="332">
        <v>9</v>
      </c>
      <c r="B133" s="535" t="str">
        <f>B114</f>
        <v>Sostenibilidad ambiental</v>
      </c>
      <c r="C133" s="256"/>
      <c r="D133" s="256"/>
      <c r="E133" s="256"/>
      <c r="F133" s="256"/>
      <c r="G133" s="256"/>
      <c r="H133" s="256"/>
      <c r="I133" s="537"/>
      <c r="J133" s="333">
        <f>N114</f>
        <v>5</v>
      </c>
      <c r="K133" s="333">
        <v>5</v>
      </c>
      <c r="L133" s="334">
        <f t="shared" si="5"/>
        <v>0</v>
      </c>
    </row>
    <row r="134" spans="1:12" s="296" customFormat="1" ht="18.649999999999999" customHeight="1" x14ac:dyDescent="0.45"/>
    <row r="135" spans="1:12" s="296" customFormat="1" ht="18.649999999999999" customHeight="1" x14ac:dyDescent="0.45"/>
    <row r="136" spans="1:12" s="296" customFormat="1" ht="18.649999999999999" customHeight="1" x14ac:dyDescent="0.45"/>
    <row r="137" spans="1:12" s="296" customFormat="1" ht="18.649999999999999" customHeight="1" x14ac:dyDescent="0.45"/>
    <row r="138" spans="1:12" s="296" customFormat="1" ht="18.649999999999999" customHeight="1" x14ac:dyDescent="0.45"/>
    <row r="139" spans="1:12" s="296" customFormat="1" ht="18.649999999999999" customHeight="1" x14ac:dyDescent="0.45"/>
    <row r="140" spans="1:12" s="296" customFormat="1" ht="18.649999999999999" customHeight="1" x14ac:dyDescent="0.45"/>
    <row r="141" spans="1:12" s="296" customFormat="1" ht="18.649999999999999" customHeight="1" x14ac:dyDescent="0.45"/>
    <row r="142" spans="1:12" s="296" customFormat="1" ht="18.649999999999999" customHeight="1" x14ac:dyDescent="0.45"/>
    <row r="143" spans="1:12" s="296" customFormat="1" ht="18.649999999999999" customHeight="1" x14ac:dyDescent="0.45"/>
    <row r="144" spans="1:12" s="296" customFormat="1" ht="18.649999999999999" customHeight="1" x14ac:dyDescent="0.45"/>
    <row r="145" spans="1:1" s="296" customFormat="1" ht="18.649999999999999" customHeight="1" x14ac:dyDescent="0.45"/>
    <row r="146" spans="1:1" s="296" customFormat="1" ht="18.649999999999999" customHeight="1" x14ac:dyDescent="0.45"/>
    <row r="147" spans="1:1" s="296" customFormat="1" ht="18.649999999999999" customHeight="1" x14ac:dyDescent="0.45"/>
    <row r="148" spans="1:1" s="296" customFormat="1" ht="18.649999999999999" customHeight="1" x14ac:dyDescent="0.45"/>
    <row r="149" spans="1:1" s="296" customFormat="1" ht="18.649999999999999" customHeight="1" x14ac:dyDescent="0.45"/>
    <row r="150" spans="1:1" s="296" customFormat="1" ht="18.649999999999999" customHeight="1" x14ac:dyDescent="0.45"/>
    <row r="151" spans="1:1" s="296" customFormat="1" ht="18.649999999999999" customHeight="1" x14ac:dyDescent="0.45">
      <c r="A151" s="322"/>
    </row>
    <row r="152" spans="1:1" s="296" customFormat="1" ht="18.649999999999999" customHeight="1" x14ac:dyDescent="0.45">
      <c r="A152" s="322"/>
    </row>
    <row r="153" spans="1:1" s="296" customFormat="1" ht="18.649999999999999" customHeight="1" x14ac:dyDescent="0.45">
      <c r="A153" s="322"/>
    </row>
    <row r="154" spans="1:1" s="296" customFormat="1" ht="18.649999999999999" customHeight="1" x14ac:dyDescent="0.45">
      <c r="A154" s="322"/>
    </row>
    <row r="155" spans="1:1" s="296" customFormat="1" ht="18.649999999999999" customHeight="1" x14ac:dyDescent="0.45">
      <c r="A155" s="322"/>
    </row>
    <row r="156" spans="1:1" s="296" customFormat="1" ht="18.649999999999999" customHeight="1" x14ac:dyDescent="0.45">
      <c r="A156" s="322"/>
    </row>
    <row r="157" spans="1:1" s="296" customFormat="1" ht="18.649999999999999" customHeight="1" x14ac:dyDescent="0.45">
      <c r="A157" s="322"/>
    </row>
    <row r="158" spans="1:1" s="296" customFormat="1" ht="18.649999999999999" customHeight="1" x14ac:dyDescent="0.45">
      <c r="A158" s="322"/>
    </row>
    <row r="159" spans="1:1" s="296" customFormat="1" ht="18.649999999999999" customHeight="1" x14ac:dyDescent="0.45">
      <c r="A159" s="322"/>
    </row>
    <row r="160" spans="1:1" s="296" customFormat="1" ht="18.649999999999999" customHeight="1" x14ac:dyDescent="0.45">
      <c r="A160" s="322"/>
    </row>
    <row r="161" spans="1:1" s="296" customFormat="1" ht="18.649999999999999" customHeight="1" x14ac:dyDescent="0.45">
      <c r="A161" s="322"/>
    </row>
    <row r="162" spans="1:1" s="296" customFormat="1" ht="18.649999999999999" customHeight="1" x14ac:dyDescent="0.45">
      <c r="A162" s="322"/>
    </row>
    <row r="163" spans="1:1" s="296" customFormat="1" ht="18.649999999999999" customHeight="1" x14ac:dyDescent="0.45">
      <c r="A163" s="322"/>
    </row>
    <row r="164" spans="1:1" s="296" customFormat="1" ht="18.649999999999999" customHeight="1" x14ac:dyDescent="0.45">
      <c r="A164" s="322"/>
    </row>
    <row r="165" spans="1:1" s="296" customFormat="1" ht="18.649999999999999" customHeight="1" x14ac:dyDescent="0.45">
      <c r="A165" s="322"/>
    </row>
    <row r="166" spans="1:1" s="296" customFormat="1" ht="18.649999999999999" customHeight="1" x14ac:dyDescent="0.45">
      <c r="A166" s="322"/>
    </row>
    <row r="167" spans="1:1" s="296" customFormat="1" ht="18.649999999999999" customHeight="1" x14ac:dyDescent="0.45">
      <c r="A167" s="322"/>
    </row>
    <row r="168" spans="1:1" s="296" customFormat="1" ht="18.649999999999999" customHeight="1" x14ac:dyDescent="0.45">
      <c r="A168" s="322"/>
    </row>
    <row r="169" spans="1:1" s="296" customFormat="1" ht="18.649999999999999" customHeight="1" x14ac:dyDescent="0.45">
      <c r="A169" s="322"/>
    </row>
    <row r="170" spans="1:1" s="296" customFormat="1" ht="18.649999999999999" customHeight="1" x14ac:dyDescent="0.45">
      <c r="A170" s="322"/>
    </row>
    <row r="171" spans="1:1" s="296" customFormat="1" ht="18.649999999999999" customHeight="1" x14ac:dyDescent="0.45">
      <c r="A171" s="322"/>
    </row>
    <row r="172" spans="1:1" s="296" customFormat="1" ht="18.649999999999999" customHeight="1" x14ac:dyDescent="0.45">
      <c r="A172" s="322"/>
    </row>
    <row r="173" spans="1:1" s="296" customFormat="1" ht="18.649999999999999" customHeight="1" x14ac:dyDescent="0.45">
      <c r="A173" s="322"/>
    </row>
    <row r="174" spans="1:1" s="296" customFormat="1" ht="18.649999999999999" customHeight="1" x14ac:dyDescent="0.45">
      <c r="A174" s="322"/>
    </row>
    <row r="175" spans="1:1" s="296" customFormat="1" ht="18.649999999999999" customHeight="1" x14ac:dyDescent="0.45">
      <c r="A175" s="322"/>
    </row>
    <row r="176" spans="1:1" s="296" customFormat="1" ht="18.649999999999999" customHeight="1" x14ac:dyDescent="0.45">
      <c r="A176" s="322"/>
    </row>
    <row r="177" spans="1:1" s="296" customFormat="1" ht="18.649999999999999" customHeight="1" x14ac:dyDescent="0.45">
      <c r="A177" s="322"/>
    </row>
    <row r="178" spans="1:1" s="296" customFormat="1" ht="18.649999999999999" customHeight="1" x14ac:dyDescent="0.45">
      <c r="A178" s="322"/>
    </row>
    <row r="179" spans="1:1" s="296" customFormat="1" ht="18.649999999999999" customHeight="1" x14ac:dyDescent="0.45">
      <c r="A179" s="322"/>
    </row>
    <row r="180" spans="1:1" s="296" customFormat="1" ht="18.649999999999999" customHeight="1" x14ac:dyDescent="0.45">
      <c r="A180" s="322"/>
    </row>
    <row r="181" spans="1:1" s="296" customFormat="1" ht="18.649999999999999" customHeight="1" x14ac:dyDescent="0.45">
      <c r="A181" s="322"/>
    </row>
    <row r="182" spans="1:1" s="296" customFormat="1" ht="18.649999999999999" customHeight="1" x14ac:dyDescent="0.45">
      <c r="A182" s="322"/>
    </row>
    <row r="183" spans="1:1" s="296" customFormat="1" ht="18.649999999999999" customHeight="1" x14ac:dyDescent="0.45">
      <c r="A183" s="322"/>
    </row>
    <row r="184" spans="1:1" s="296" customFormat="1" ht="18.649999999999999" customHeight="1" x14ac:dyDescent="0.45">
      <c r="A184" s="322"/>
    </row>
    <row r="185" spans="1:1" s="296" customFormat="1" ht="18.649999999999999" customHeight="1" x14ac:dyDescent="0.45">
      <c r="A185" s="322"/>
    </row>
    <row r="186" spans="1:1" s="296" customFormat="1" ht="18.649999999999999" customHeight="1" x14ac:dyDescent="0.45">
      <c r="A186" s="322"/>
    </row>
    <row r="187" spans="1:1" s="296" customFormat="1" ht="18.649999999999999" customHeight="1" x14ac:dyDescent="0.45">
      <c r="A187" s="322"/>
    </row>
    <row r="188" spans="1:1" s="296" customFormat="1" ht="18.649999999999999" customHeight="1" x14ac:dyDescent="0.45">
      <c r="A188" s="322"/>
    </row>
    <row r="189" spans="1:1" s="296" customFormat="1" ht="18.649999999999999" customHeight="1" x14ac:dyDescent="0.45">
      <c r="A189" s="322"/>
    </row>
    <row r="190" spans="1:1" s="296" customFormat="1" ht="18.649999999999999" customHeight="1" x14ac:dyDescent="0.45">
      <c r="A190" s="322"/>
    </row>
    <row r="191" spans="1:1" s="296" customFormat="1" ht="18.649999999999999" customHeight="1" x14ac:dyDescent="0.45">
      <c r="A191" s="322"/>
    </row>
    <row r="192" spans="1:1" s="296" customFormat="1" ht="18.649999999999999" customHeight="1" x14ac:dyDescent="0.45">
      <c r="A192" s="322"/>
    </row>
    <row r="193" spans="1:1" s="296" customFormat="1" ht="18.649999999999999" customHeight="1" x14ac:dyDescent="0.45">
      <c r="A193" s="322"/>
    </row>
    <row r="194" spans="1:1" s="296" customFormat="1" ht="18.649999999999999" customHeight="1" x14ac:dyDescent="0.45">
      <c r="A194" s="322"/>
    </row>
    <row r="195" spans="1:1" s="296" customFormat="1" ht="18.649999999999999" customHeight="1" x14ac:dyDescent="0.45">
      <c r="A195" s="322"/>
    </row>
    <row r="196" spans="1:1" s="296" customFormat="1" ht="18.649999999999999" customHeight="1" x14ac:dyDescent="0.45">
      <c r="A196" s="322"/>
    </row>
    <row r="197" spans="1:1" s="296" customFormat="1" ht="18.649999999999999" customHeight="1" x14ac:dyDescent="0.45">
      <c r="A197" s="322"/>
    </row>
    <row r="198" spans="1:1" s="296" customFormat="1" ht="18.649999999999999" customHeight="1" x14ac:dyDescent="0.45">
      <c r="A198" s="322"/>
    </row>
    <row r="199" spans="1:1" s="296" customFormat="1" ht="18.649999999999999" customHeight="1" x14ac:dyDescent="0.45">
      <c r="A199" s="322"/>
    </row>
    <row r="200" spans="1:1" s="296" customFormat="1" ht="18.649999999999999" customHeight="1" x14ac:dyDescent="0.45">
      <c r="A200" s="322"/>
    </row>
    <row r="201" spans="1:1" s="296" customFormat="1" ht="18.649999999999999" customHeight="1" x14ac:dyDescent="0.45">
      <c r="A201" s="322"/>
    </row>
    <row r="202" spans="1:1" s="296" customFormat="1" ht="18.649999999999999" customHeight="1" x14ac:dyDescent="0.45">
      <c r="A202" s="322"/>
    </row>
    <row r="203" spans="1:1" s="296" customFormat="1" ht="18.649999999999999" customHeight="1" x14ac:dyDescent="0.45">
      <c r="A203" s="322"/>
    </row>
    <row r="204" spans="1:1" s="296" customFormat="1" ht="18.649999999999999" customHeight="1" x14ac:dyDescent="0.45">
      <c r="A204" s="322"/>
    </row>
    <row r="205" spans="1:1" s="296" customFormat="1" ht="18.649999999999999" customHeight="1" x14ac:dyDescent="0.45">
      <c r="A205" s="322"/>
    </row>
    <row r="206" spans="1:1" s="296" customFormat="1" ht="18.649999999999999" customHeight="1" x14ac:dyDescent="0.45">
      <c r="A206" s="322"/>
    </row>
    <row r="207" spans="1:1" s="296" customFormat="1" ht="18.649999999999999" customHeight="1" x14ac:dyDescent="0.45">
      <c r="A207" s="322"/>
    </row>
    <row r="208" spans="1:1" s="296" customFormat="1" ht="18.649999999999999" customHeight="1" x14ac:dyDescent="0.45">
      <c r="A208" s="322"/>
    </row>
    <row r="209" spans="1:1" s="296" customFormat="1" ht="18.649999999999999" customHeight="1" x14ac:dyDescent="0.45">
      <c r="A209" s="322"/>
    </row>
    <row r="210" spans="1:1" s="296" customFormat="1" ht="18.649999999999999" customHeight="1" x14ac:dyDescent="0.45">
      <c r="A210" s="322"/>
    </row>
    <row r="211" spans="1:1" s="296" customFormat="1" ht="18.649999999999999" customHeight="1" x14ac:dyDescent="0.45">
      <c r="A211" s="322"/>
    </row>
    <row r="212" spans="1:1" s="296" customFormat="1" ht="18.649999999999999" customHeight="1" x14ac:dyDescent="0.45">
      <c r="A212" s="322"/>
    </row>
    <row r="213" spans="1:1" s="296" customFormat="1" ht="18.649999999999999" customHeight="1" x14ac:dyDescent="0.45">
      <c r="A213" s="322"/>
    </row>
    <row r="214" spans="1:1" s="296" customFormat="1" ht="18.649999999999999" customHeight="1" x14ac:dyDescent="0.45">
      <c r="A214" s="322"/>
    </row>
    <row r="215" spans="1:1" s="296" customFormat="1" ht="18.649999999999999" customHeight="1" x14ac:dyDescent="0.45">
      <c r="A215" s="322"/>
    </row>
    <row r="216" spans="1:1" s="296" customFormat="1" ht="18.649999999999999" customHeight="1" x14ac:dyDescent="0.45">
      <c r="A216" s="322"/>
    </row>
    <row r="217" spans="1:1" s="296" customFormat="1" ht="18.649999999999999" customHeight="1" x14ac:dyDescent="0.45">
      <c r="A217" s="322"/>
    </row>
    <row r="218" spans="1:1" s="296" customFormat="1" ht="18.649999999999999" customHeight="1" x14ac:dyDescent="0.45">
      <c r="A218" s="322"/>
    </row>
    <row r="219" spans="1:1" s="296" customFormat="1" ht="18.649999999999999" customHeight="1" x14ac:dyDescent="0.45">
      <c r="A219" s="322"/>
    </row>
    <row r="220" spans="1:1" s="296" customFormat="1" ht="18.649999999999999" customHeight="1" x14ac:dyDescent="0.45">
      <c r="A220" s="322"/>
    </row>
    <row r="221" spans="1:1" s="296" customFormat="1" ht="18.649999999999999" customHeight="1" x14ac:dyDescent="0.45">
      <c r="A221" s="322"/>
    </row>
    <row r="222" spans="1:1" s="296" customFormat="1" ht="18.649999999999999" customHeight="1" x14ac:dyDescent="0.45">
      <c r="A222" s="322"/>
    </row>
    <row r="223" spans="1:1" s="296" customFormat="1" ht="18.649999999999999" customHeight="1" x14ac:dyDescent="0.45">
      <c r="A223" s="322"/>
    </row>
    <row r="224" spans="1:1" s="296" customFormat="1" ht="18.649999999999999" customHeight="1" x14ac:dyDescent="0.45">
      <c r="A224" s="322"/>
    </row>
    <row r="225" spans="1:1" s="296" customFormat="1" ht="18.649999999999999" customHeight="1" x14ac:dyDescent="0.45">
      <c r="A225" s="322"/>
    </row>
    <row r="226" spans="1:1" s="296" customFormat="1" ht="18.649999999999999" customHeight="1" x14ac:dyDescent="0.45">
      <c r="A226" s="322"/>
    </row>
    <row r="227" spans="1:1" s="296" customFormat="1" ht="18.649999999999999" customHeight="1" x14ac:dyDescent="0.45">
      <c r="A227" s="322"/>
    </row>
    <row r="228" spans="1:1" s="296" customFormat="1" ht="18.649999999999999" customHeight="1" x14ac:dyDescent="0.45">
      <c r="A228" s="322"/>
    </row>
    <row r="229" spans="1:1" s="296" customFormat="1" ht="18.649999999999999" customHeight="1" x14ac:dyDescent="0.45">
      <c r="A229" s="322"/>
    </row>
    <row r="230" spans="1:1" s="296" customFormat="1" ht="18.649999999999999" customHeight="1" x14ac:dyDescent="0.45">
      <c r="A230" s="322"/>
    </row>
    <row r="231" spans="1:1" s="296" customFormat="1" ht="18.649999999999999" customHeight="1" x14ac:dyDescent="0.45">
      <c r="A231" s="322"/>
    </row>
    <row r="232" spans="1:1" s="296" customFormat="1" ht="18.649999999999999" customHeight="1" x14ac:dyDescent="0.45">
      <c r="A232" s="322"/>
    </row>
    <row r="233" spans="1:1" s="296" customFormat="1" ht="18.649999999999999" customHeight="1" x14ac:dyDescent="0.45">
      <c r="A233" s="322"/>
    </row>
    <row r="234" spans="1:1" s="296" customFormat="1" ht="18.649999999999999" customHeight="1" x14ac:dyDescent="0.45">
      <c r="A234" s="322"/>
    </row>
    <row r="235" spans="1:1" s="296" customFormat="1" ht="18.649999999999999" customHeight="1" x14ac:dyDescent="0.45">
      <c r="A235" s="322"/>
    </row>
    <row r="236" spans="1:1" s="296" customFormat="1" ht="18.649999999999999" customHeight="1" x14ac:dyDescent="0.45">
      <c r="A236" s="322"/>
    </row>
    <row r="237" spans="1:1" s="296" customFormat="1" ht="18.649999999999999" customHeight="1" x14ac:dyDescent="0.45">
      <c r="A237" s="322"/>
    </row>
    <row r="238" spans="1:1" s="296" customFormat="1" ht="18.649999999999999" customHeight="1" x14ac:dyDescent="0.45">
      <c r="A238" s="322"/>
    </row>
    <row r="239" spans="1:1" s="296" customFormat="1" ht="18.649999999999999" customHeight="1" x14ac:dyDescent="0.45">
      <c r="A239" s="322"/>
    </row>
    <row r="240" spans="1:1" s="296" customFormat="1" ht="18.649999999999999" customHeight="1" x14ac:dyDescent="0.45">
      <c r="A240" s="322"/>
    </row>
    <row r="241" spans="1:1" s="296" customFormat="1" ht="18.649999999999999" customHeight="1" x14ac:dyDescent="0.45">
      <c r="A241" s="322"/>
    </row>
    <row r="242" spans="1:1" s="296" customFormat="1" ht="18.649999999999999" customHeight="1" x14ac:dyDescent="0.45">
      <c r="A242" s="322"/>
    </row>
    <row r="243" spans="1:1" s="296" customFormat="1" ht="18.649999999999999" customHeight="1" x14ac:dyDescent="0.45">
      <c r="A243" s="322"/>
    </row>
    <row r="244" spans="1:1" s="296" customFormat="1" ht="18.649999999999999" customHeight="1" x14ac:dyDescent="0.45">
      <c r="A244" s="322"/>
    </row>
    <row r="245" spans="1:1" s="296" customFormat="1" ht="18.649999999999999" customHeight="1" x14ac:dyDescent="0.45">
      <c r="A245" s="322"/>
    </row>
    <row r="246" spans="1:1" s="296" customFormat="1" ht="18.649999999999999" customHeight="1" x14ac:dyDescent="0.45">
      <c r="A246" s="322"/>
    </row>
    <row r="247" spans="1:1" s="296" customFormat="1" ht="18.649999999999999" customHeight="1" x14ac:dyDescent="0.45">
      <c r="A247" s="322"/>
    </row>
    <row r="248" spans="1:1" s="296" customFormat="1" ht="18.649999999999999" customHeight="1" x14ac:dyDescent="0.45">
      <c r="A248" s="322"/>
    </row>
    <row r="249" spans="1:1" s="296" customFormat="1" ht="18.649999999999999" customHeight="1" x14ac:dyDescent="0.45">
      <c r="A249" s="322"/>
    </row>
    <row r="250" spans="1:1" s="296" customFormat="1" ht="18.649999999999999" customHeight="1" x14ac:dyDescent="0.45">
      <c r="A250" s="322"/>
    </row>
    <row r="251" spans="1:1" s="296" customFormat="1" ht="18.649999999999999" customHeight="1" x14ac:dyDescent="0.45">
      <c r="A251" s="322"/>
    </row>
    <row r="252" spans="1:1" s="296" customFormat="1" ht="18.649999999999999" customHeight="1" x14ac:dyDescent="0.45">
      <c r="A252" s="322"/>
    </row>
    <row r="253" spans="1:1" s="296" customFormat="1" ht="18.649999999999999" customHeight="1" x14ac:dyDescent="0.45">
      <c r="A253" s="322"/>
    </row>
  </sheetData>
  <sheetProtection selectLockedCells="1"/>
  <pageMargins left="0.7" right="0.7" top="0.75" bottom="0.75" header="0.3" footer="0.3"/>
  <pageSetup fitToHeight="0" orientation="portrait" horizontalDpi="4294967293" r:id="rId1"/>
  <headerFooter>
    <oddHeader>&amp;C&amp;"Palatino Linotype,Negrita"&amp;16Programa Fábricas de Productividad
Guía para el diagnóstico general de la Empresa&amp;R&amp;G</oddHeader>
    <oddFooter>&amp;L&amp;G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60497-1CC6-4F8D-A1F8-3C7B0124457A}">
  <sheetPr>
    <tabColor theme="4" tint="-0.249977111117893"/>
    <pageSetUpPr fitToPage="1"/>
  </sheetPr>
  <dimension ref="A1:N355"/>
  <sheetViews>
    <sheetView view="pageLayout" zoomScale="70" zoomScaleNormal="70" zoomScalePageLayoutView="70" workbookViewId="0">
      <selection activeCell="I3" sqref="I3:N3"/>
    </sheetView>
  </sheetViews>
  <sheetFormatPr baseColWidth="10" defaultColWidth="0" defaultRowHeight="18.649999999999999" customHeight="1" x14ac:dyDescent="0.35"/>
  <cols>
    <col min="1" max="1" width="9.54296875" style="284" customWidth="1"/>
    <col min="2" max="6" width="9.54296875" style="256" customWidth="1"/>
    <col min="7" max="7" width="7.54296875" style="256" customWidth="1"/>
    <col min="8" max="11" width="9.54296875" style="256" customWidth="1"/>
    <col min="12" max="12" width="8.54296875" style="256" customWidth="1"/>
    <col min="13" max="14" width="9.54296875" style="256" customWidth="1"/>
    <col min="15" max="16384" width="0" style="256" hidden="1"/>
  </cols>
  <sheetData>
    <row r="1" spans="1:14" ht="75.650000000000006" customHeight="1" x14ac:dyDescent="0.35">
      <c r="A1" s="785"/>
      <c r="B1" s="335"/>
      <c r="C1" s="335"/>
      <c r="D1" s="335"/>
      <c r="E1" s="335"/>
      <c r="F1" s="335"/>
      <c r="G1" s="335"/>
      <c r="H1" s="335"/>
      <c r="I1" s="1013" t="s">
        <v>768</v>
      </c>
      <c r="J1" s="1013"/>
      <c r="K1" s="1013"/>
      <c r="L1" s="1013"/>
      <c r="M1" s="1013"/>
      <c r="N1" s="335"/>
    </row>
    <row r="2" spans="1:14" ht="18.649999999999999" customHeight="1" x14ac:dyDescent="0.35">
      <c r="A2" s="1014" t="s">
        <v>734</v>
      </c>
      <c r="B2" s="1016" t="s">
        <v>735</v>
      </c>
      <c r="C2" s="1017"/>
      <c r="D2" s="1017"/>
      <c r="E2" s="1017"/>
      <c r="F2" s="1017"/>
      <c r="G2" s="1017"/>
      <c r="H2" s="1018"/>
      <c r="I2" s="1021" t="s">
        <v>736</v>
      </c>
      <c r="J2" s="1017"/>
      <c r="K2" s="1017"/>
      <c r="L2" s="1022" t="s">
        <v>769</v>
      </c>
      <c r="M2" s="1017"/>
      <c r="N2" s="1018"/>
    </row>
    <row r="3" spans="1:14" ht="18.649999999999999" customHeight="1" x14ac:dyDescent="0.35">
      <c r="A3" s="1015"/>
      <c r="B3" s="1019"/>
      <c r="C3" s="1020"/>
      <c r="D3" s="1020"/>
      <c r="E3" s="1020"/>
      <c r="F3" s="1020"/>
      <c r="G3" s="1020"/>
      <c r="H3" s="1020"/>
      <c r="I3" s="336">
        <v>2022</v>
      </c>
      <c r="J3" s="337">
        <v>2023</v>
      </c>
      <c r="K3" s="338">
        <v>2024</v>
      </c>
      <c r="L3" s="340">
        <v>2022</v>
      </c>
      <c r="M3" s="341">
        <v>2023</v>
      </c>
      <c r="N3" s="341">
        <v>2024</v>
      </c>
    </row>
    <row r="4" spans="1:14" ht="18.649999999999999" customHeight="1" x14ac:dyDescent="0.35">
      <c r="A4" s="262" t="s">
        <v>738</v>
      </c>
      <c r="B4" s="1023" t="s">
        <v>739</v>
      </c>
      <c r="C4" s="1023"/>
      <c r="D4" s="1023"/>
      <c r="E4" s="1023"/>
      <c r="F4" s="1023"/>
      <c r="G4" s="1023"/>
      <c r="H4" s="1024"/>
      <c r="I4" s="292"/>
      <c r="J4" s="264"/>
      <c r="K4" s="342"/>
      <c r="L4" s="343">
        <f>IFERROR(AVERAGEIF(I5:I11,"&lt;&gt;0",I5:I11),0)</f>
        <v>0</v>
      </c>
      <c r="M4" s="344">
        <f>IFERROR(AVERAGEIF(J5:J11,"&lt;&gt;0",J5:J11),0)</f>
        <v>0</v>
      </c>
      <c r="N4" s="345">
        <f>IFERROR(AVERAGEIF(K5:K11,"&lt;&gt;0",K5:K11),0)</f>
        <v>0</v>
      </c>
    </row>
    <row r="5" spans="1:14" ht="18.649999999999999" customHeight="1" x14ac:dyDescent="0.35">
      <c r="A5" s="267">
        <v>1</v>
      </c>
      <c r="B5" s="1009" t="str">
        <f>'1'!B3</f>
        <v>Quién se comunica directamente con los clientes</v>
      </c>
      <c r="C5" s="1009"/>
      <c r="D5" s="1009"/>
      <c r="E5" s="1009"/>
      <c r="F5" s="1009"/>
      <c r="G5" s="1009"/>
      <c r="H5" s="1010"/>
      <c r="I5" s="294">
        <f>IF('1'!J$3&lt;&gt;"",'1'!J$3,0)</f>
        <v>0</v>
      </c>
      <c r="J5" s="282">
        <f>IF('1'!K$3&lt;&gt;"",'1'!K$3,0)</f>
        <v>0</v>
      </c>
      <c r="K5" s="346">
        <f>IF('1'!L$3&lt;&gt;"",'1'!L$3,0)</f>
        <v>0</v>
      </c>
      <c r="L5" s="294"/>
      <c r="M5" s="282"/>
      <c r="N5" s="295"/>
    </row>
    <row r="6" spans="1:14" ht="18.649999999999999" customHeight="1" x14ac:dyDescent="0.35">
      <c r="A6" s="267">
        <v>2</v>
      </c>
      <c r="B6" s="1009" t="str">
        <f>'1'!B5</f>
        <v>Cómo se fijan los precios</v>
      </c>
      <c r="C6" s="1009"/>
      <c r="D6" s="1009"/>
      <c r="E6" s="1009"/>
      <c r="F6" s="1009"/>
      <c r="G6" s="1009"/>
      <c r="H6" s="1010"/>
      <c r="I6" s="294">
        <f>IF('1'!J$5&lt;&gt;"",'1'!J$5,0)</f>
        <v>0</v>
      </c>
      <c r="J6" s="282">
        <f>IF('1'!K$5&lt;&gt;"",'1'!K$5,0)</f>
        <v>0</v>
      </c>
      <c r="K6" s="346">
        <f>IF('1'!L$5&lt;&gt;"",'1'!L$5,0)</f>
        <v>0</v>
      </c>
      <c r="L6" s="294"/>
      <c r="M6" s="282"/>
      <c r="N6" s="295"/>
    </row>
    <row r="7" spans="1:14" ht="18.649999999999999" customHeight="1" x14ac:dyDescent="0.35">
      <c r="A7" s="267">
        <v>3</v>
      </c>
      <c r="B7" s="1009" t="str">
        <f>'1'!B7</f>
        <v>Crecimiento de las ventas</v>
      </c>
      <c r="C7" s="1009"/>
      <c r="D7" s="1009"/>
      <c r="E7" s="1009"/>
      <c r="F7" s="1009"/>
      <c r="G7" s="1009"/>
      <c r="H7" s="1010"/>
      <c r="I7" s="294">
        <f>IF('1'!J$11&lt;&gt;"",'1'!J$11,0)</f>
        <v>0</v>
      </c>
      <c r="J7" s="282">
        <f>IF('1'!K$11&lt;&gt;"",'1'!K$11,0)</f>
        <v>0</v>
      </c>
      <c r="K7" s="346">
        <f>IF('1'!L$11&lt;&gt;"",'1'!L$11,0)</f>
        <v>0</v>
      </c>
      <c r="L7" s="294"/>
      <c r="M7" s="282"/>
      <c r="N7" s="295"/>
    </row>
    <row r="8" spans="1:14" ht="18.649999999999999" customHeight="1" x14ac:dyDescent="0.35">
      <c r="A8" s="267">
        <v>4</v>
      </c>
      <c r="B8" s="1009" t="str">
        <f>'1'!B13</f>
        <v>Rentabilidad por cliente</v>
      </c>
      <c r="C8" s="1009"/>
      <c r="D8" s="1009"/>
      <c r="E8" s="1009"/>
      <c r="F8" s="1009"/>
      <c r="G8" s="1009"/>
      <c r="H8" s="1010"/>
      <c r="I8" s="294">
        <f>IF('1'!J$13&lt;&gt;"",'1'!J$13,0)</f>
        <v>0</v>
      </c>
      <c r="J8" s="282">
        <f>IF('1'!K$13&lt;&gt;"",'1'!K$13,0)</f>
        <v>0</v>
      </c>
      <c r="K8" s="346">
        <f>IF('1'!L$13&lt;&gt;"",'1'!L$13,0)</f>
        <v>0</v>
      </c>
      <c r="L8" s="294"/>
      <c r="M8" s="282"/>
      <c r="N8" s="295"/>
    </row>
    <row r="9" spans="1:14" ht="18.649999999999999" customHeight="1" x14ac:dyDescent="0.35">
      <c r="A9" s="267">
        <v>5</v>
      </c>
      <c r="B9" s="1010" t="str">
        <f>'1'!B15</f>
        <v>Valor generado por los clientes</v>
      </c>
      <c r="C9" s="1011"/>
      <c r="D9" s="1011"/>
      <c r="E9" s="1011"/>
      <c r="F9" s="1011"/>
      <c r="G9" s="1011"/>
      <c r="H9" s="1012"/>
      <c r="I9" s="294">
        <f>IF('1'!J$15&lt;&gt;"",'1'!J$15,0)</f>
        <v>0</v>
      </c>
      <c r="J9" s="282">
        <f>IF('1'!K$15&lt;&gt;"",'1'!K$15,0)</f>
        <v>0</v>
      </c>
      <c r="K9" s="346">
        <f>IF('1'!L$15&lt;&gt;"",'1'!L$15,0)</f>
        <v>0</v>
      </c>
      <c r="L9" s="294"/>
      <c r="M9" s="282"/>
      <c r="N9" s="295"/>
    </row>
    <row r="10" spans="1:14" ht="18.649999999999999" customHeight="1" x14ac:dyDescent="0.35">
      <c r="A10" s="267">
        <v>6</v>
      </c>
      <c r="B10" s="1010" t="str">
        <f>'1'!B17</f>
        <v>Plan de Mercadeo y Ventas</v>
      </c>
      <c r="C10" s="1011"/>
      <c r="D10" s="1011"/>
      <c r="E10" s="1011"/>
      <c r="F10" s="1011"/>
      <c r="G10" s="1011"/>
      <c r="H10" s="1012"/>
      <c r="I10" s="294">
        <f>IF('1'!J$17&lt;&gt;"",'1'!J$17,0)</f>
        <v>0</v>
      </c>
      <c r="J10" s="282">
        <f>IF('1'!K$17&lt;&gt;"",'1'!K$17,0)</f>
        <v>0</v>
      </c>
      <c r="K10" s="346">
        <f>IF('1'!L$17&lt;&gt;"",'1'!L$17,0)</f>
        <v>0</v>
      </c>
      <c r="L10" s="294"/>
      <c r="M10" s="282"/>
      <c r="N10" s="295"/>
    </row>
    <row r="11" spans="1:14" ht="18.649999999999999" customHeight="1" x14ac:dyDescent="0.35">
      <c r="A11" s="267"/>
      <c r="B11" s="1009"/>
      <c r="C11" s="1009"/>
      <c r="D11" s="1009"/>
      <c r="E11" s="1009"/>
      <c r="F11" s="1009"/>
      <c r="G11" s="1009"/>
      <c r="H11" s="1010"/>
      <c r="I11" s="294"/>
      <c r="J11" s="282"/>
      <c r="K11" s="346"/>
      <c r="L11" s="294"/>
      <c r="M11" s="282"/>
      <c r="N11" s="295"/>
    </row>
    <row r="12" spans="1:14" ht="18.649999999999999" customHeight="1" x14ac:dyDescent="0.35">
      <c r="A12" s="270" t="s">
        <v>740</v>
      </c>
      <c r="B12" s="1031" t="s">
        <v>741</v>
      </c>
      <c r="C12" s="1032"/>
      <c r="D12" s="1032"/>
      <c r="E12" s="1032"/>
      <c r="F12" s="1032"/>
      <c r="G12" s="1032"/>
      <c r="H12" s="1033"/>
      <c r="I12" s="347"/>
      <c r="J12" s="348"/>
      <c r="K12" s="349"/>
      <c r="L12" s="347">
        <f>IFERROR(AVERAGEIFS(L13:L34,L13:L34,"&lt;&gt;0"),0)</f>
        <v>0</v>
      </c>
      <c r="M12" s="348">
        <f>IFERROR(AVERAGEIFS(M13:M34,M13:M34,"&lt;&gt;0"),0)</f>
        <v>0</v>
      </c>
      <c r="N12" s="350">
        <f>IFERROR(AVERAGEIFS(N13:N34,N13:N34,"&lt;&gt;0"),0)</f>
        <v>0</v>
      </c>
    </row>
    <row r="13" spans="1:14" ht="18.649999999999999" customHeight="1" x14ac:dyDescent="0.35">
      <c r="A13" s="275" t="s">
        <v>742</v>
      </c>
      <c r="B13" s="1028" t="s">
        <v>743</v>
      </c>
      <c r="C13" s="1029"/>
      <c r="D13" s="1029"/>
      <c r="E13" s="1029"/>
      <c r="F13" s="1029"/>
      <c r="G13" s="1029"/>
      <c r="H13" s="1030"/>
      <c r="I13" s="351"/>
      <c r="J13" s="277"/>
      <c r="K13" s="352"/>
      <c r="L13" s="353">
        <f>IFERROR(AVERAGEIF(I14:I21,"&lt;&gt;0",I14:I21),0)</f>
        <v>0</v>
      </c>
      <c r="M13" s="354">
        <f>IFERROR(AVERAGEIF(J14:J21,"&lt;&gt;0",J14:J21),0)</f>
        <v>0</v>
      </c>
      <c r="N13" s="355">
        <f>IFERROR(AVERAGEIF(K14:K21,"&lt;&gt;0",K14:K21),0)</f>
        <v>0</v>
      </c>
    </row>
    <row r="14" spans="1:14" ht="18.649999999999999" customHeight="1" x14ac:dyDescent="0.35">
      <c r="A14" s="267">
        <v>1</v>
      </c>
      <c r="B14" s="1010" t="str">
        <f>'2'!B4</f>
        <v>Tiempo de Ciclo</v>
      </c>
      <c r="C14" s="1011"/>
      <c r="D14" s="1011"/>
      <c r="E14" s="1011"/>
      <c r="F14" s="1011"/>
      <c r="G14" s="1011"/>
      <c r="H14" s="1012"/>
      <c r="I14" s="294">
        <f>IF('2'!J$4&lt;&gt;"",'2'!J$4,0)</f>
        <v>0</v>
      </c>
      <c r="J14" s="282">
        <f>IF('2'!K$4&lt;&gt;"",'2'!K$4,0)</f>
        <v>0</v>
      </c>
      <c r="K14" s="346">
        <f>IF('2'!L$4&lt;&gt;"",'2'!L$4,0)</f>
        <v>0</v>
      </c>
      <c r="L14" s="294"/>
      <c r="M14" s="282"/>
      <c r="N14" s="295"/>
    </row>
    <row r="15" spans="1:14" ht="18.649999999999999" customHeight="1" x14ac:dyDescent="0.35">
      <c r="A15" s="267"/>
      <c r="B15" s="1010"/>
      <c r="C15" s="1011"/>
      <c r="D15" s="1011"/>
      <c r="E15" s="1011"/>
      <c r="F15" s="1011"/>
      <c r="G15" s="1011"/>
      <c r="H15" s="1012"/>
      <c r="I15" s="294">
        <f>IF('2'!J$8&lt;&gt;"",'2'!J$8,0)</f>
        <v>0</v>
      </c>
      <c r="J15" s="282">
        <f>IF('2'!K$8&lt;&gt;"",'2'!K$8,0)</f>
        <v>0</v>
      </c>
      <c r="K15" s="346">
        <f>IF('2'!L$8&lt;&gt;"",'2'!L$8,0)</f>
        <v>0</v>
      </c>
      <c r="L15" s="294"/>
      <c r="M15" s="282"/>
      <c r="N15" s="295"/>
    </row>
    <row r="16" spans="1:14" ht="18.649999999999999" customHeight="1" x14ac:dyDescent="0.35">
      <c r="A16" s="281"/>
      <c r="B16" s="1025"/>
      <c r="C16" s="1026"/>
      <c r="D16" s="1026"/>
      <c r="E16" s="1026"/>
      <c r="F16" s="1026"/>
      <c r="G16" s="1026"/>
      <c r="H16" s="1027"/>
      <c r="I16" s="356">
        <f>IF('2'!J$6&lt;&gt;"",'2'!J$6,0)</f>
        <v>0</v>
      </c>
      <c r="J16" s="286">
        <f>IF('2'!K$6&lt;&gt;"",'2'!K$6,0)</f>
        <v>0</v>
      </c>
      <c r="K16" s="357">
        <f>IF('2'!L$6&lt;&gt;"",'2'!L$6,0)</f>
        <v>0</v>
      </c>
      <c r="L16" s="356"/>
      <c r="M16" s="286"/>
      <c r="N16" s="358"/>
    </row>
    <row r="17" spans="1:14" ht="18.649999999999999" customHeight="1" x14ac:dyDescent="0.35">
      <c r="A17" s="267">
        <v>2</v>
      </c>
      <c r="B17" s="1025" t="str">
        <f>'2'!B10</f>
        <v xml:space="preserve">Capacidad de reducción de costos </v>
      </c>
      <c r="C17" s="1026"/>
      <c r="D17" s="1026"/>
      <c r="E17" s="1026"/>
      <c r="F17" s="1026"/>
      <c r="G17" s="1026"/>
      <c r="H17" s="1027"/>
      <c r="I17" s="294">
        <f>IF('2'!J$10&lt;&gt;"",'2'!J$10,0)</f>
        <v>0</v>
      </c>
      <c r="J17" s="282">
        <f>IF('2'!K$10&lt;&gt;"",'2'!K$10,0)</f>
        <v>0</v>
      </c>
      <c r="K17" s="346">
        <f>IF('2'!L$10&lt;&gt;"",'2'!L$10,0)</f>
        <v>0</v>
      </c>
      <c r="L17" s="294"/>
      <c r="M17" s="282"/>
      <c r="N17" s="295"/>
    </row>
    <row r="18" spans="1:14" ht="18.649999999999999" customHeight="1" x14ac:dyDescent="0.35">
      <c r="A18" s="267"/>
      <c r="B18" s="1010"/>
      <c r="C18" s="1011"/>
      <c r="D18" s="1011"/>
      <c r="E18" s="1011"/>
      <c r="F18" s="1011"/>
      <c r="G18" s="1011"/>
      <c r="H18" s="1012"/>
      <c r="I18" s="294">
        <f>IF('2'!J$12&lt;&gt;"",'2'!J$12,0)</f>
        <v>0</v>
      </c>
      <c r="J18" s="282">
        <f>IF('2'!K$12&lt;&gt;"",'2'!K$12,0)</f>
        <v>0</v>
      </c>
      <c r="K18" s="346">
        <f>IF('2'!L$12&lt;&gt;"",'2'!L$12,0)</f>
        <v>0</v>
      </c>
      <c r="L18" s="294"/>
      <c r="M18" s="282"/>
      <c r="N18" s="295"/>
    </row>
    <row r="19" spans="1:14" ht="18.649999999999999" customHeight="1" x14ac:dyDescent="0.35">
      <c r="A19" s="267">
        <v>3</v>
      </c>
      <c r="B19" s="1010" t="str">
        <f>'2'!B14</f>
        <v>Nivel de variación de los costos</v>
      </c>
      <c r="C19" s="1011"/>
      <c r="D19" s="1011"/>
      <c r="E19" s="1011"/>
      <c r="F19" s="1011"/>
      <c r="G19" s="1011"/>
      <c r="H19" s="1012"/>
      <c r="I19" s="294">
        <f>IF('2'!J$14&lt;&gt;"",'2'!J$14,0)</f>
        <v>0</v>
      </c>
      <c r="J19" s="282">
        <f>IF('2'!K$14&lt;&gt;"",'2'!K$14,0)</f>
        <v>0</v>
      </c>
      <c r="K19" s="346">
        <f>IF('2'!L$14&lt;&gt;"",'2'!L$14,0)</f>
        <v>0</v>
      </c>
      <c r="L19" s="294"/>
      <c r="M19" s="282"/>
      <c r="N19" s="295"/>
    </row>
    <row r="20" spans="1:14" ht="18.649999999999999" customHeight="1" x14ac:dyDescent="0.35">
      <c r="A20" s="267">
        <v>4</v>
      </c>
      <c r="B20" s="1010" t="str">
        <f>'2'!B16</f>
        <v>Eficiencia General de los Equipos (OEE)</v>
      </c>
      <c r="C20" s="1011"/>
      <c r="D20" s="1011"/>
      <c r="E20" s="1011"/>
      <c r="F20" s="1011"/>
      <c r="G20" s="1011"/>
      <c r="H20" s="1012"/>
      <c r="I20" s="294">
        <f>IF('2'!J$16&lt;&gt;"",'2'!J$16,0)</f>
        <v>0</v>
      </c>
      <c r="J20" s="282">
        <f>IF('2'!K$16&lt;&gt;"",'2'!K$16,0)</f>
        <v>0</v>
      </c>
      <c r="K20" s="346">
        <f>IF('2'!L$16&lt;&gt;"",'2'!L$16,0)</f>
        <v>0</v>
      </c>
      <c r="L20" s="294"/>
      <c r="M20" s="282"/>
      <c r="N20" s="295"/>
    </row>
    <row r="21" spans="1:14" ht="18.649999999999999" customHeight="1" x14ac:dyDescent="0.35">
      <c r="A21" s="267">
        <v>5</v>
      </c>
      <c r="B21" s="1010" t="str">
        <f>'2'!B20</f>
        <v>Con qué frecuencia se celebran Eventos Kaizen</v>
      </c>
      <c r="C21" s="1011"/>
      <c r="D21" s="1011"/>
      <c r="E21" s="1011"/>
      <c r="F21" s="1011"/>
      <c r="G21" s="1011"/>
      <c r="H21" s="1012"/>
      <c r="I21" s="294">
        <f>IF('2'!J$20&lt;&gt;"",'2'!J$20,0)</f>
        <v>0</v>
      </c>
      <c r="J21" s="282">
        <f>IF('2'!K$20&lt;&gt;"",'2'!K$20,0)</f>
        <v>0</v>
      </c>
      <c r="K21" s="346">
        <f>IF('2'!L$20&lt;&gt;"",'2'!L$20,0)</f>
        <v>0</v>
      </c>
      <c r="L21" s="294"/>
      <c r="M21" s="282"/>
      <c r="N21" s="295"/>
    </row>
    <row r="22" spans="1:14" ht="18.649999999999999" customHeight="1" x14ac:dyDescent="0.35">
      <c r="A22" s="275" t="s">
        <v>744</v>
      </c>
      <c r="B22" s="1028" t="s">
        <v>745</v>
      </c>
      <c r="C22" s="1029"/>
      <c r="D22" s="1029"/>
      <c r="E22" s="1029"/>
      <c r="F22" s="1029"/>
      <c r="G22" s="1029"/>
      <c r="H22" s="1030"/>
      <c r="I22" s="351"/>
      <c r="J22" s="277"/>
      <c r="K22" s="352"/>
      <c r="L22" s="353">
        <f>IFERROR(AVERAGEIF(I23,"&lt;&gt;0",I23),0)</f>
        <v>0</v>
      </c>
      <c r="M22" s="354">
        <f>IFERROR(AVERAGEIF(J23,"&lt;&gt;0",J23),0)</f>
        <v>0</v>
      </c>
      <c r="N22" s="355">
        <f>IFERROR(AVERAGEIF(K23,"&lt;&gt;0",K23),0)</f>
        <v>0</v>
      </c>
    </row>
    <row r="23" spans="1:14" ht="18.649999999999999" customHeight="1" x14ac:dyDescent="0.35">
      <c r="A23" s="267">
        <v>6</v>
      </c>
      <c r="B23" s="1010" t="str">
        <f>'2'!B23</f>
        <v>Nivel de mantenimiento  preventivo</v>
      </c>
      <c r="C23" s="1011"/>
      <c r="D23" s="1011"/>
      <c r="E23" s="1011"/>
      <c r="F23" s="1011"/>
      <c r="G23" s="1011"/>
      <c r="H23" s="1012"/>
      <c r="I23" s="294">
        <f>IF('2'!J$23&lt;&gt;"",'2'!J$23,0)</f>
        <v>0</v>
      </c>
      <c r="J23" s="282">
        <f>IF('2'!K$23&lt;&gt;"",'2'!K$23,0)</f>
        <v>0</v>
      </c>
      <c r="K23" s="346">
        <f>IF('2'!L$23&lt;&gt;"",'2'!L$23,0)</f>
        <v>0</v>
      </c>
      <c r="L23" s="294"/>
      <c r="M23" s="282"/>
      <c r="N23" s="295"/>
    </row>
    <row r="24" spans="1:14" ht="18.649999999999999" customHeight="1" x14ac:dyDescent="0.35">
      <c r="A24" s="275" t="s">
        <v>746</v>
      </c>
      <c r="B24" s="1028" t="s">
        <v>747</v>
      </c>
      <c r="C24" s="1029"/>
      <c r="D24" s="1029"/>
      <c r="E24" s="1029"/>
      <c r="F24" s="1029"/>
      <c r="G24" s="1029"/>
      <c r="H24" s="1030"/>
      <c r="I24" s="351"/>
      <c r="J24" s="277"/>
      <c r="K24" s="352"/>
      <c r="L24" s="353">
        <f>IFERROR(AVERAGEIF(I25:I26,"&lt;&gt;0",I25:I26),0)</f>
        <v>0</v>
      </c>
      <c r="M24" s="354">
        <f>IFERROR(AVERAGEIF(J25:J26,"&lt;&gt;0",J25:J26),0)</f>
        <v>0</v>
      </c>
      <c r="N24" s="355">
        <f>IFERROR(AVERAGEIF(K25:K26,"&lt;&gt;0",K25:K26),0)</f>
        <v>0</v>
      </c>
    </row>
    <row r="25" spans="1:14" ht="18.649999999999999" customHeight="1" x14ac:dyDescent="0.35">
      <c r="A25" s="267">
        <v>7</v>
      </c>
      <c r="B25" s="1010" t="str">
        <f>'2'!B26</f>
        <v xml:space="preserve">Nivel de utilización del espacio de la planta y oficinas </v>
      </c>
      <c r="C25" s="1011"/>
      <c r="D25" s="1011"/>
      <c r="E25" s="1011"/>
      <c r="F25" s="1011"/>
      <c r="G25" s="1011"/>
      <c r="H25" s="1012"/>
      <c r="I25" s="294">
        <f>IF('2'!J$26&lt;&gt;"",'2'!J$26,0)</f>
        <v>0</v>
      </c>
      <c r="J25" s="282">
        <f>IF('2'!K$26&lt;&gt;"",'2'!K$26,0)</f>
        <v>0</v>
      </c>
      <c r="K25" s="346">
        <f>IF('2'!L$26&lt;&gt;"",'2'!L$26,0)</f>
        <v>0</v>
      </c>
      <c r="L25" s="294"/>
      <c r="M25" s="282"/>
      <c r="N25" s="295"/>
    </row>
    <row r="26" spans="1:14" ht="18.649999999999999" customHeight="1" x14ac:dyDescent="0.35">
      <c r="A26" s="267">
        <v>8</v>
      </c>
      <c r="B26" s="1010" t="str">
        <f>'2'!B28</f>
        <v>Qué tanto se han implementado las 5S</v>
      </c>
      <c r="C26" s="1011"/>
      <c r="D26" s="1011"/>
      <c r="E26" s="1011"/>
      <c r="F26" s="1011"/>
      <c r="G26" s="1011"/>
      <c r="H26" s="1012"/>
      <c r="I26" s="294">
        <f>IF('2'!J$28&lt;&gt;"",'2'!J$28,0)</f>
        <v>0</v>
      </c>
      <c r="J26" s="282">
        <f>IF('2'!K$28&lt;&gt;"",'2'!K$28,0)</f>
        <v>0</v>
      </c>
      <c r="K26" s="346">
        <f>IF('2'!L$28&lt;&gt;"",'2'!L$28,0)</f>
        <v>0</v>
      </c>
      <c r="L26" s="294"/>
      <c r="M26" s="282"/>
      <c r="N26" s="295"/>
    </row>
    <row r="27" spans="1:14" ht="18.649999999999999" customHeight="1" x14ac:dyDescent="0.35">
      <c r="A27" s="275" t="s">
        <v>748</v>
      </c>
      <c r="B27" s="1028" t="s">
        <v>749</v>
      </c>
      <c r="C27" s="1029"/>
      <c r="D27" s="1029"/>
      <c r="E27" s="1029"/>
      <c r="F27" s="1029"/>
      <c r="G27" s="1029"/>
      <c r="H27" s="1030"/>
      <c r="I27" s="351"/>
      <c r="J27" s="277"/>
      <c r="K27" s="352"/>
      <c r="L27" s="353">
        <f>IFERROR(AVERAGEIF(I28,"&lt;&gt;0",I28),0)</f>
        <v>0</v>
      </c>
      <c r="M27" s="354">
        <f>IFERROR(AVERAGEIF(J28,"&lt;&gt;0",J28),0)</f>
        <v>0</v>
      </c>
      <c r="N27" s="355">
        <f>IFERROR(AVERAGEIF(K28,"&lt;&gt;0",K28),0)</f>
        <v>0</v>
      </c>
    </row>
    <row r="28" spans="1:14" ht="18.649999999999999" customHeight="1" x14ac:dyDescent="0.35">
      <c r="A28" s="267">
        <v>9</v>
      </c>
      <c r="B28" s="1010" t="str">
        <f>'2'!B31</f>
        <v>Tiempo de alistamiento</v>
      </c>
      <c r="C28" s="1011"/>
      <c r="D28" s="1011"/>
      <c r="E28" s="1011"/>
      <c r="F28" s="1011"/>
      <c r="G28" s="1011"/>
      <c r="H28" s="1012"/>
      <c r="I28" s="294">
        <f>IF('2'!J$31&lt;&gt;"",'2'!J$31,0)</f>
        <v>0</v>
      </c>
      <c r="J28" s="282">
        <f>IF('2'!K$31&lt;&gt;"",'2'!K$31,0)</f>
        <v>0</v>
      </c>
      <c r="K28" s="346">
        <f>IF('2'!L$31&lt;&gt;"",'2'!L$31,0)</f>
        <v>0</v>
      </c>
      <c r="L28" s="294"/>
      <c r="M28" s="282"/>
      <c r="N28" s="295"/>
    </row>
    <row r="29" spans="1:14" ht="18.649999999999999" customHeight="1" x14ac:dyDescent="0.35">
      <c r="A29" s="275" t="s">
        <v>750</v>
      </c>
      <c r="B29" s="1028" t="s">
        <v>751</v>
      </c>
      <c r="C29" s="1029"/>
      <c r="D29" s="1029"/>
      <c r="E29" s="1029"/>
      <c r="F29" s="1029"/>
      <c r="G29" s="1029"/>
      <c r="H29" s="1030"/>
      <c r="I29" s="351"/>
      <c r="J29" s="277"/>
      <c r="K29" s="352"/>
      <c r="L29" s="353">
        <f>IFERROR(AVERAGEIF(I30:I34,"&lt;&gt;0",I30:I34),0)</f>
        <v>0</v>
      </c>
      <c r="M29" s="354">
        <f>IFERROR(AVERAGEIF(J30:J34,"&lt;&gt;0",J30:J34),0)</f>
        <v>0</v>
      </c>
      <c r="N29" s="355">
        <f>IFERROR(AVERAGEIF(K30:K34,"&lt;&gt;0",K30:K34),0)</f>
        <v>0</v>
      </c>
    </row>
    <row r="30" spans="1:14" ht="18.649999999999999" customHeight="1" x14ac:dyDescent="0.35">
      <c r="A30" s="267">
        <v>10</v>
      </c>
      <c r="B30" s="1010" t="str">
        <f>'2'!B34</f>
        <v>Nivel de rotación</v>
      </c>
      <c r="C30" s="1011"/>
      <c r="D30" s="1011"/>
      <c r="E30" s="1011"/>
      <c r="F30" s="1011"/>
      <c r="G30" s="1011"/>
      <c r="H30" s="1012"/>
      <c r="I30" s="294">
        <f>IF('2'!J$34&lt;&gt;"",'2'!J$34,0)</f>
        <v>0</v>
      </c>
      <c r="J30" s="282">
        <f>IF('2'!K$34&lt;&gt;"",'2'!K$34,0)</f>
        <v>0</v>
      </c>
      <c r="K30" s="346">
        <f>IF('2'!L$34&lt;&gt;"",'2'!L$34,0)</f>
        <v>0</v>
      </c>
      <c r="L30" s="294"/>
      <c r="M30" s="282"/>
      <c r="N30" s="295"/>
    </row>
    <row r="31" spans="1:14" ht="18.649999999999999" customHeight="1" x14ac:dyDescent="0.35">
      <c r="A31" s="267">
        <v>11</v>
      </c>
      <c r="B31" s="1010" t="str">
        <f>'2'!B36</f>
        <v>Cantidad de proveedores estratégicos o aliados por tipo de materia prima</v>
      </c>
      <c r="C31" s="1011"/>
      <c r="D31" s="1011"/>
      <c r="E31" s="1011"/>
      <c r="F31" s="1011"/>
      <c r="G31" s="1011"/>
      <c r="H31" s="1012"/>
      <c r="I31" s="294">
        <f>IF('2'!J$36&lt;&gt;"",'2'!J$36,0)</f>
        <v>0</v>
      </c>
      <c r="J31" s="282">
        <f>IF('2'!K$36&lt;&gt;"",'2'!K$36,0)</f>
        <v>0</v>
      </c>
      <c r="K31" s="346">
        <f>IF('2'!L$36&lt;&gt;"",'2'!L$36,0)</f>
        <v>0</v>
      </c>
      <c r="L31" s="294"/>
      <c r="M31" s="282"/>
      <c r="N31" s="295"/>
    </row>
    <row r="32" spans="1:14" ht="18.649999999999999" customHeight="1" x14ac:dyDescent="0.35">
      <c r="A32" s="267">
        <v>12</v>
      </c>
      <c r="B32" s="1010" t="str">
        <f>'2'!B38</f>
        <v>Nivel de reabastecimiento</v>
      </c>
      <c r="C32" s="1011"/>
      <c r="D32" s="1011"/>
      <c r="E32" s="1011"/>
      <c r="F32" s="1011"/>
      <c r="G32" s="1011"/>
      <c r="H32" s="1012"/>
      <c r="I32" s="294">
        <f>IF('2'!J$38&lt;&gt;"",'2'!J$38,0)</f>
        <v>0</v>
      </c>
      <c r="J32" s="282">
        <f>IF('2'!K$38&lt;&gt;"",'2'!K$38,0)</f>
        <v>0</v>
      </c>
      <c r="K32" s="346">
        <f>IF('2'!L$38&lt;&gt;"",'2'!L$38,0)</f>
        <v>0</v>
      </c>
      <c r="L32" s="294"/>
      <c r="M32" s="282"/>
      <c r="N32" s="295"/>
    </row>
    <row r="33" spans="1:14" ht="18.649999999999999" customHeight="1" x14ac:dyDescent="0.35">
      <c r="A33" s="267">
        <v>13</v>
      </c>
      <c r="B33" s="1010" t="str">
        <f>'2'!B41</f>
        <v>Nivel del Pull System</v>
      </c>
      <c r="C33" s="1011"/>
      <c r="D33" s="1011"/>
      <c r="E33" s="1011"/>
      <c r="F33" s="1011"/>
      <c r="G33" s="1011"/>
      <c r="H33" s="1012"/>
      <c r="I33" s="294">
        <f>IF('2'!J$41&lt;&gt;"",'2'!J$41,0)</f>
        <v>0</v>
      </c>
      <c r="J33" s="282">
        <f>IF('2'!K$41&lt;&gt;"",'2'!K$41,0)</f>
        <v>0</v>
      </c>
      <c r="K33" s="346">
        <f>IF('2'!L$41&lt;&gt;"",'2'!L$41,0)</f>
        <v>0</v>
      </c>
      <c r="L33" s="294"/>
      <c r="M33" s="282"/>
      <c r="N33" s="295"/>
    </row>
    <row r="34" spans="1:14" ht="18.649999999999999" customHeight="1" x14ac:dyDescent="0.35">
      <c r="A34" s="267">
        <v>14</v>
      </c>
      <c r="B34" s="1010" t="str">
        <f>'2'!B43</f>
        <v>Frecuencia del aprovisionamiento</v>
      </c>
      <c r="C34" s="1011"/>
      <c r="D34" s="1011"/>
      <c r="E34" s="1011"/>
      <c r="F34" s="1011"/>
      <c r="G34" s="1011"/>
      <c r="H34" s="1012"/>
      <c r="I34" s="294">
        <f>IF('2'!J$43&lt;&gt;"",'2'!J$43,0)</f>
        <v>0</v>
      </c>
      <c r="J34" s="282">
        <f>IF('2'!K$43&lt;&gt;"",'2'!K$43,0)</f>
        <v>0</v>
      </c>
      <c r="K34" s="346">
        <f>IF('2'!L$43&lt;&gt;"",'2'!L$43,0)</f>
        <v>0</v>
      </c>
      <c r="L34" s="294"/>
      <c r="M34" s="282"/>
      <c r="N34" s="295"/>
    </row>
    <row r="35" spans="1:14" ht="18.649999999999999" customHeight="1" x14ac:dyDescent="0.35">
      <c r="A35" s="270" t="s">
        <v>752</v>
      </c>
      <c r="B35" s="1031" t="s">
        <v>211</v>
      </c>
      <c r="C35" s="1032"/>
      <c r="D35" s="1032"/>
      <c r="E35" s="1032"/>
      <c r="F35" s="1032"/>
      <c r="G35" s="1032"/>
      <c r="H35" s="1033"/>
      <c r="I35" s="347"/>
      <c r="J35" s="348"/>
      <c r="K35" s="349"/>
      <c r="L35" s="347">
        <f>IFERROR(AVERAGEIF(I36:I50,"&lt;&gt;0",I36:I50),0)</f>
        <v>0</v>
      </c>
      <c r="M35" s="348">
        <f>IFERROR(AVERAGEIF(J36:J50,"&lt;&gt;0",J36:J50),0)</f>
        <v>0</v>
      </c>
      <c r="N35" s="350">
        <f>IFERROR(AVERAGEIF(K36:K50,"&lt;&gt;0",K36:K50),0)</f>
        <v>0</v>
      </c>
    </row>
    <row r="36" spans="1:14" ht="18.649999999999999" customHeight="1" x14ac:dyDescent="0.35">
      <c r="A36" s="267">
        <v>1</v>
      </c>
      <c r="B36" s="1010" t="str">
        <f>'3'!B3</f>
        <v>Productividad laboral</v>
      </c>
      <c r="C36" s="1011"/>
      <c r="D36" s="1011"/>
      <c r="E36" s="1011"/>
      <c r="F36" s="1011"/>
      <c r="G36" s="1011"/>
      <c r="H36" s="1012"/>
      <c r="I36" s="294">
        <f>IF('3'!J$3&lt;&gt;"",'3'!J$3,0)</f>
        <v>0</v>
      </c>
      <c r="J36" s="282">
        <f>IF('3'!K$3&lt;&gt;"",'3'!K$3,0)</f>
        <v>0</v>
      </c>
      <c r="K36" s="346">
        <f>IF('3'!L$3&lt;&gt;"",'3'!L$3,0)</f>
        <v>0</v>
      </c>
      <c r="L36" s="294"/>
      <c r="M36" s="282"/>
      <c r="N36" s="295"/>
    </row>
    <row r="37" spans="1:14" ht="18.649999999999999" customHeight="1" x14ac:dyDescent="0.35">
      <c r="A37" s="267"/>
      <c r="B37" s="1010"/>
      <c r="C37" s="1011"/>
      <c r="D37" s="1011"/>
      <c r="E37" s="1011"/>
      <c r="F37" s="1011"/>
      <c r="G37" s="1011"/>
      <c r="H37" s="1012"/>
      <c r="I37" s="294">
        <f>IF('3'!J$5&lt;&gt;"",'3'!J$5,0)</f>
        <v>0</v>
      </c>
      <c r="J37" s="282">
        <f>IF('3'!K$5&lt;&gt;"",'3'!K$5,0)</f>
        <v>0</v>
      </c>
      <c r="K37" s="346">
        <f>IF('3'!L$5&lt;&gt;"",'3'!L$5,0)</f>
        <v>0</v>
      </c>
      <c r="L37" s="294"/>
      <c r="M37" s="282"/>
      <c r="N37" s="295"/>
    </row>
    <row r="38" spans="1:14" ht="18.649999999999999" customHeight="1" x14ac:dyDescent="0.35">
      <c r="A38" s="267">
        <v>2</v>
      </c>
      <c r="B38" s="1010" t="str">
        <f>'3'!B7</f>
        <v>Participación</v>
      </c>
      <c r="C38" s="1011"/>
      <c r="D38" s="1011"/>
      <c r="E38" s="1011"/>
      <c r="F38" s="1011"/>
      <c r="G38" s="1011"/>
      <c r="H38" s="1012"/>
      <c r="I38" s="294">
        <f>IF('3'!J$7&lt;&gt;"",'3'!J$7,0)</f>
        <v>0</v>
      </c>
      <c r="J38" s="282">
        <f>IF('3'!K$7&lt;&gt;"",'3'!K$7,0)</f>
        <v>0</v>
      </c>
      <c r="K38" s="346">
        <f>IF('3'!L$7&lt;&gt;"",'3'!L$7,0)</f>
        <v>0</v>
      </c>
      <c r="L38" s="294"/>
      <c r="M38" s="282"/>
      <c r="N38" s="295"/>
    </row>
    <row r="39" spans="1:14" ht="18.649999999999999" customHeight="1" x14ac:dyDescent="0.35">
      <c r="A39" s="267"/>
      <c r="B39" s="1010"/>
      <c r="C39" s="1011"/>
      <c r="D39" s="1011"/>
      <c r="E39" s="1011"/>
      <c r="F39" s="1011"/>
      <c r="G39" s="1011"/>
      <c r="H39" s="1012"/>
      <c r="I39" s="294">
        <f>IF('3'!J$9&lt;&gt;"",'3'!J$9,0)</f>
        <v>0</v>
      </c>
      <c r="J39" s="282">
        <f>IF('3'!K$9&lt;&gt;"",'3'!K$9,0)</f>
        <v>0</v>
      </c>
      <c r="K39" s="346">
        <f>IF('3'!L$9&lt;&gt;"",'3'!L$9,0)</f>
        <v>0</v>
      </c>
      <c r="L39" s="294"/>
      <c r="M39" s="282"/>
      <c r="N39" s="295"/>
    </row>
    <row r="40" spans="1:14" ht="18.649999999999999" customHeight="1" x14ac:dyDescent="0.35">
      <c r="A40" s="267">
        <v>3</v>
      </c>
      <c r="B40" s="1010" t="str">
        <f>'3'!B11</f>
        <v>Índice de rotación de personal</v>
      </c>
      <c r="C40" s="1011"/>
      <c r="D40" s="1011"/>
      <c r="E40" s="1011"/>
      <c r="F40" s="1011"/>
      <c r="G40" s="1011"/>
      <c r="H40" s="1012"/>
      <c r="I40" s="294">
        <f>IF('3'!J$11&lt;&gt;"",'3'!J$11,0)</f>
        <v>0</v>
      </c>
      <c r="J40" s="282">
        <f>IF('3'!K$11&lt;&gt;"",'3'!K$11,0)</f>
        <v>0</v>
      </c>
      <c r="K40" s="346">
        <f>IF('3'!L$11&lt;&gt;"",'3'!L$11,0)</f>
        <v>0</v>
      </c>
      <c r="L40" s="294"/>
      <c r="M40" s="282"/>
      <c r="N40" s="295"/>
    </row>
    <row r="41" spans="1:14" ht="18.649999999999999" customHeight="1" x14ac:dyDescent="0.35">
      <c r="A41" s="267">
        <v>4</v>
      </c>
      <c r="B41" s="1010" t="str">
        <f>'3'!B13</f>
        <v>Índice de ausentismo</v>
      </c>
      <c r="C41" s="1011"/>
      <c r="D41" s="1011"/>
      <c r="E41" s="1011"/>
      <c r="F41" s="1011"/>
      <c r="G41" s="1011"/>
      <c r="H41" s="1012"/>
      <c r="I41" s="294">
        <f>IF('3'!J$13&lt;&gt;"",'3'!J$13,0)</f>
        <v>0</v>
      </c>
      <c r="J41" s="282">
        <f>IF('3'!K$13&lt;&gt;"",'3'!K$13,0)</f>
        <v>0</v>
      </c>
      <c r="K41" s="346">
        <f>IF('3'!L$13&lt;&gt;"",'3'!L$13,0)</f>
        <v>0</v>
      </c>
      <c r="L41" s="294"/>
      <c r="M41" s="282"/>
      <c r="N41" s="295"/>
    </row>
    <row r="42" spans="1:14" ht="18.649999999999999" customHeight="1" x14ac:dyDescent="0.35">
      <c r="A42" s="267">
        <v>5</v>
      </c>
      <c r="B42" s="1010" t="str">
        <f>'3'!B15</f>
        <v>Nivel  de horas extras</v>
      </c>
      <c r="C42" s="1011"/>
      <c r="D42" s="1011"/>
      <c r="E42" s="1011"/>
      <c r="F42" s="1011"/>
      <c r="G42" s="1011"/>
      <c r="H42" s="1012"/>
      <c r="I42" s="294">
        <f>IF('3'!J$15&lt;&gt;"",'3'!J$15,0)</f>
        <v>0</v>
      </c>
      <c r="J42" s="282">
        <f>IF('3'!K$15&lt;&gt;"",'3'!K$15,0)</f>
        <v>0</v>
      </c>
      <c r="K42" s="346">
        <f>IF('3'!L$15&lt;&gt;"",'3'!L$15,0)</f>
        <v>0</v>
      </c>
      <c r="L42" s="294"/>
      <c r="M42" s="282"/>
      <c r="N42" s="295"/>
    </row>
    <row r="43" spans="1:14" ht="18.649999999999999" customHeight="1" x14ac:dyDescent="0.35">
      <c r="A43" s="267">
        <v>6</v>
      </c>
      <c r="B43" s="1010" t="str">
        <f>'3'!B17</f>
        <v>Entrenamiento</v>
      </c>
      <c r="C43" s="1011"/>
      <c r="D43" s="1011"/>
      <c r="E43" s="1011"/>
      <c r="F43" s="1011"/>
      <c r="G43" s="1011"/>
      <c r="H43" s="1012"/>
      <c r="I43" s="294">
        <f>IF('3'!J$17&lt;&gt;"",'3'!J$17,0)</f>
        <v>0</v>
      </c>
      <c r="J43" s="282">
        <f>IF('3'!K$17&lt;&gt;"",'3'!K$17,0)</f>
        <v>0</v>
      </c>
      <c r="K43" s="346">
        <f>IF('3'!L$17&lt;&gt;"",'3'!L$17,0)</f>
        <v>0</v>
      </c>
      <c r="L43" s="294"/>
      <c r="M43" s="282"/>
      <c r="N43" s="295"/>
    </row>
    <row r="44" spans="1:14" ht="18.649999999999999" customHeight="1" x14ac:dyDescent="0.35">
      <c r="A44" s="267">
        <v>7</v>
      </c>
      <c r="B44" s="1010" t="str">
        <f>'3'!B19</f>
        <v>Entrenamiento</v>
      </c>
      <c r="C44" s="1011"/>
      <c r="D44" s="1011"/>
      <c r="E44" s="1011"/>
      <c r="F44" s="1011"/>
      <c r="G44" s="1011"/>
      <c r="H44" s="1012"/>
      <c r="I44" s="294">
        <f>IF('3'!J$19&lt;&gt;"",'3'!J$19,0)</f>
        <v>0</v>
      </c>
      <c r="J44" s="282">
        <f>IF('3'!K$19&lt;&gt;"",'3'!K$19,0)</f>
        <v>0</v>
      </c>
      <c r="K44" s="346">
        <f>IF('3'!L$19&lt;&gt;"",'3'!L$19,0)</f>
        <v>0</v>
      </c>
      <c r="L44" s="294"/>
      <c r="M44" s="282"/>
      <c r="N44" s="295"/>
    </row>
    <row r="45" spans="1:14" ht="18.649999999999999" customHeight="1" x14ac:dyDescent="0.35">
      <c r="A45" s="281">
        <v>8</v>
      </c>
      <c r="B45" s="1010" t="str">
        <f>'3'!B21</f>
        <v>Accidentalidad</v>
      </c>
      <c r="C45" s="1011"/>
      <c r="D45" s="1011"/>
      <c r="E45" s="1011"/>
      <c r="F45" s="1011"/>
      <c r="G45" s="1011"/>
      <c r="H45" s="1012"/>
      <c r="I45" s="356">
        <f>IF('3'!J$21&lt;&gt;"",'3'!J$21,0)</f>
        <v>0</v>
      </c>
      <c r="J45" s="286">
        <f>IF('3'!K$21&lt;&gt;"",'3'!K$21,0)</f>
        <v>0</v>
      </c>
      <c r="K45" s="357">
        <f>IF('3'!L$21&lt;&gt;"",'3'!L$21,0)</f>
        <v>0</v>
      </c>
      <c r="L45" s="356"/>
      <c r="M45" s="286"/>
      <c r="N45" s="358"/>
    </row>
    <row r="46" spans="1:14" ht="18.649999999999999" customHeight="1" x14ac:dyDescent="0.35">
      <c r="A46" s="267">
        <v>9</v>
      </c>
      <c r="B46" s="1010" t="str">
        <f>'3'!B23</f>
        <v>Gestión del riego de accidentalidad</v>
      </c>
      <c r="C46" s="1011"/>
      <c r="D46" s="1011"/>
      <c r="E46" s="1011"/>
      <c r="F46" s="1011"/>
      <c r="G46" s="1011"/>
      <c r="H46" s="1012"/>
      <c r="I46" s="294">
        <f>IF('3'!J$23&lt;&gt;"",'3'!J$23,0)</f>
        <v>0</v>
      </c>
      <c r="J46" s="282">
        <f>IF('3'!K$23&lt;&gt;"",'3'!K$23,0)</f>
        <v>0</v>
      </c>
      <c r="K46" s="346">
        <f>IF('3'!L$23&lt;&gt;"",'3'!L$23,0)</f>
        <v>0</v>
      </c>
      <c r="L46" s="294"/>
      <c r="M46" s="282"/>
      <c r="N46" s="295"/>
    </row>
    <row r="47" spans="1:14" ht="18.649999999999999" customHeight="1" x14ac:dyDescent="0.35">
      <c r="A47" s="267">
        <v>10</v>
      </c>
      <c r="B47" s="1010" t="str">
        <f>'3'!B25</f>
        <v>Eficiencia General de las Personas (EGP)</v>
      </c>
      <c r="C47" s="1011"/>
      <c r="D47" s="1011"/>
      <c r="E47" s="1011"/>
      <c r="F47" s="1011"/>
      <c r="G47" s="1011"/>
      <c r="H47" s="1012"/>
      <c r="I47" s="294">
        <f>IF('3'!J$25&lt;&gt;"",'3'!J$25,0)</f>
        <v>0</v>
      </c>
      <c r="J47" s="282">
        <f>IF('3'!K$25&lt;&gt;"",'3'!K$25,0)</f>
        <v>0</v>
      </c>
      <c r="K47" s="346">
        <f>IF('3'!L$25&lt;&gt;"",'3'!L$25,0)</f>
        <v>0</v>
      </c>
      <c r="L47" s="294"/>
      <c r="M47" s="282"/>
      <c r="N47" s="295"/>
    </row>
    <row r="48" spans="1:14" ht="18.649999999999999" customHeight="1" x14ac:dyDescent="0.35">
      <c r="A48" s="267">
        <v>11</v>
      </c>
      <c r="B48" s="1010" t="str">
        <f>'3'!B27</f>
        <v>Trabajo estandarizado</v>
      </c>
      <c r="C48" s="1011"/>
      <c r="D48" s="1011"/>
      <c r="E48" s="1011"/>
      <c r="F48" s="1011"/>
      <c r="G48" s="1011"/>
      <c r="H48" s="1012"/>
      <c r="I48" s="294">
        <f>IF('3'!J$27&lt;&gt;"",'3'!J$27,0)</f>
        <v>0</v>
      </c>
      <c r="J48" s="282">
        <f>IF('3'!K$27&lt;&gt;"",'3'!K$27,0)</f>
        <v>0</v>
      </c>
      <c r="K48" s="346">
        <f>IF('3'!L$27&lt;&gt;"",'3'!L$27,0)</f>
        <v>0</v>
      </c>
      <c r="L48" s="294"/>
      <c r="M48" s="282"/>
      <c r="N48" s="295"/>
    </row>
    <row r="49" spans="1:14" ht="18.649999999999999" customHeight="1" x14ac:dyDescent="0.35">
      <c r="A49" s="267">
        <v>12</v>
      </c>
      <c r="B49" s="786" t="str">
        <f>'3'!B29</f>
        <v>Desarrollo por competencias y polivalencia</v>
      </c>
      <c r="C49" s="788"/>
      <c r="D49" s="788"/>
      <c r="E49" s="788"/>
      <c r="F49" s="788"/>
      <c r="G49" s="788"/>
      <c r="H49" s="791"/>
      <c r="I49" s="294">
        <f>IF('3'!J$29&lt;&gt;"",'3'!J$29,0)</f>
        <v>0</v>
      </c>
      <c r="J49" s="282">
        <f>IF('3'!K$29&lt;&gt;"",'3'!K$29,0)</f>
        <v>0</v>
      </c>
      <c r="K49" s="346">
        <f>IF('3'!L$29&lt;&gt;"",'3'!L$29,0)</f>
        <v>0</v>
      </c>
      <c r="L49" s="294"/>
      <c r="M49" s="282"/>
      <c r="N49" s="295"/>
    </row>
    <row r="50" spans="1:14" ht="18.649999999999999" customHeight="1" x14ac:dyDescent="0.35">
      <c r="A50" s="288">
        <v>13</v>
      </c>
      <c r="B50" s="1037" t="str">
        <f>'3'!B31</f>
        <v>Políticas de género</v>
      </c>
      <c r="C50" s="1038"/>
      <c r="D50" s="1038"/>
      <c r="E50" s="1038"/>
      <c r="F50" s="1038"/>
      <c r="G50" s="1038"/>
      <c r="H50" s="1039"/>
      <c r="I50" s="297">
        <f>IF('3'!J$31&lt;&gt;"",'3'!J$31,0)</f>
        <v>0</v>
      </c>
      <c r="J50" s="290">
        <f>IF('3'!K$31&lt;&gt;"",'3'!K$31,0)</f>
        <v>0</v>
      </c>
      <c r="K50" s="359">
        <f>IF('3'!L$31&lt;&gt;"",'3'!L$31,0)</f>
        <v>0</v>
      </c>
      <c r="L50" s="297"/>
      <c r="M50" s="290"/>
      <c r="N50" s="298"/>
    </row>
    <row r="51" spans="1:14" ht="18.649999999999999" customHeight="1" x14ac:dyDescent="0.35">
      <c r="A51" s="262" t="s">
        <v>753</v>
      </c>
      <c r="B51" s="1023" t="s">
        <v>754</v>
      </c>
      <c r="C51" s="1023"/>
      <c r="D51" s="1023"/>
      <c r="E51" s="1023"/>
      <c r="F51" s="1023"/>
      <c r="G51" s="1023"/>
      <c r="H51" s="1024"/>
      <c r="I51" s="263"/>
      <c r="J51" s="264"/>
      <c r="K51" s="293"/>
      <c r="L51" s="343">
        <f>IFERROR(AVERAGEIF(I52:I63,"&lt;&gt;0",I52:I63),0)</f>
        <v>5</v>
      </c>
      <c r="M51" s="344">
        <f>IFERROR(AVERAGEIF(J52:J63,"&lt;&gt;0",J52:J63),0)</f>
        <v>5</v>
      </c>
      <c r="N51" s="345">
        <f>IFERROR(AVERAGEIF(K52:K63,"&lt;&gt;0",K52:K63),0)</f>
        <v>5</v>
      </c>
    </row>
    <row r="52" spans="1:14" ht="18.649999999999999" customHeight="1" x14ac:dyDescent="0.35">
      <c r="A52" s="267">
        <v>1</v>
      </c>
      <c r="B52" s="1040" t="str">
        <f>'4'!B3</f>
        <v>Comparación de los costos de energía con los costos totales de producción</v>
      </c>
      <c r="C52" s="1040"/>
      <c r="D52" s="1040"/>
      <c r="E52" s="1040"/>
      <c r="F52" s="1040"/>
      <c r="G52" s="1040"/>
      <c r="H52" s="1034"/>
      <c r="I52" s="268">
        <f>IF('4'!J$3&lt;&gt;"",'4'!J$3,0)</f>
        <v>5</v>
      </c>
      <c r="J52" s="282">
        <f>IF('4'!K$3&lt;&gt;"",'4'!K$3,0)</f>
        <v>5</v>
      </c>
      <c r="K52" s="295">
        <f>IF('4'!L$3&lt;&gt;"",'4'!L$3,0)</f>
        <v>5</v>
      </c>
      <c r="L52" s="294"/>
      <c r="M52" s="282"/>
      <c r="N52" s="295"/>
    </row>
    <row r="53" spans="1:14" ht="18.649999999999999" customHeight="1" x14ac:dyDescent="0.35">
      <c r="A53" s="267">
        <v>2</v>
      </c>
      <c r="B53" s="1040" t="str">
        <f>'4'!B5</f>
        <v>Implementación de medidas de eficiencia energética</v>
      </c>
      <c r="C53" s="1040"/>
      <c r="D53" s="1040"/>
      <c r="E53" s="1040"/>
      <c r="F53" s="1040"/>
      <c r="G53" s="1040"/>
      <c r="H53" s="1034"/>
      <c r="I53" s="268">
        <f>IF('4'!J$5&lt;&gt;"",'4'!J$5,0)</f>
        <v>0</v>
      </c>
      <c r="J53" s="282">
        <f>IF('4'!K$5&lt;&gt;"",'4'!K$5,0)</f>
        <v>0</v>
      </c>
      <c r="K53" s="295">
        <f>IF('4'!L$5&lt;&gt;"",'4'!L$5,0)</f>
        <v>0</v>
      </c>
      <c r="L53" s="294"/>
      <c r="M53" s="282"/>
      <c r="N53" s="295"/>
    </row>
    <row r="54" spans="1:14" ht="18.649999999999999" customHeight="1" x14ac:dyDescent="0.35">
      <c r="A54" s="267">
        <v>3</v>
      </c>
      <c r="B54" s="1034" t="str">
        <f>'4'!B7</f>
        <v>Medición del desempeño energético</v>
      </c>
      <c r="C54" s="1035"/>
      <c r="D54" s="1035"/>
      <c r="E54" s="1035"/>
      <c r="F54" s="1035"/>
      <c r="G54" s="1035"/>
      <c r="H54" s="1036"/>
      <c r="I54" s="268">
        <f>IF('4'!J$7&lt;&gt;"",'4'!J$7,0)</f>
        <v>0</v>
      </c>
      <c r="J54" s="282">
        <f>IF('4'!K$7&lt;&gt;"",'4'!K$7,0)</f>
        <v>0</v>
      </c>
      <c r="K54" s="295">
        <f>IF('4'!L$7&lt;&gt;"",'4'!L$7,0)</f>
        <v>0</v>
      </c>
      <c r="L54" s="294"/>
      <c r="M54" s="282"/>
      <c r="N54" s="295"/>
    </row>
    <row r="55" spans="1:14" ht="18.649999999999999" customHeight="1" x14ac:dyDescent="0.35">
      <c r="A55" s="267">
        <v>4</v>
      </c>
      <c r="B55" s="1034" t="str">
        <f>'4'!B9</f>
        <v>Valoración técnica y referenciación con mejores practicas (Best Practices y Benchmarking)</v>
      </c>
      <c r="C55" s="1035"/>
      <c r="D55" s="1035"/>
      <c r="E55" s="1035"/>
      <c r="F55" s="1035"/>
      <c r="G55" s="1035"/>
      <c r="H55" s="1036"/>
      <c r="I55" s="268">
        <f>IF('4'!J$9&lt;&gt;"",'4'!J$9,0)</f>
        <v>0</v>
      </c>
      <c r="J55" s="282">
        <f>IF('4'!K$9&lt;&gt;"",'4'!K$9,0)</f>
        <v>0</v>
      </c>
      <c r="K55" s="295">
        <f>IF('4'!L$9&lt;&gt;"",'4'!L$9,0)</f>
        <v>0</v>
      </c>
      <c r="L55" s="294"/>
      <c r="M55" s="282"/>
      <c r="N55" s="295"/>
    </row>
    <row r="56" spans="1:14" ht="18.649999999999999" customHeight="1" x14ac:dyDescent="0.35">
      <c r="A56" s="267">
        <v>5</v>
      </c>
      <c r="B56" s="1034" t="str">
        <f>'4'!B11</f>
        <v>Objetivos y metas de desempeño</v>
      </c>
      <c r="C56" s="1035"/>
      <c r="D56" s="1035"/>
      <c r="E56" s="1035"/>
      <c r="F56" s="1035"/>
      <c r="G56" s="1035"/>
      <c r="H56" s="1036"/>
      <c r="I56" s="268">
        <f>IF('4'!J$11&lt;&gt;"",'4'!J$11,0)</f>
        <v>0</v>
      </c>
      <c r="J56" s="282">
        <f>IF('4'!K$11&lt;&gt;"",'4'!K$11,0)</f>
        <v>0</v>
      </c>
      <c r="K56" s="295">
        <f>IF('4'!L$11&lt;&gt;"",'4'!L$11,0)</f>
        <v>0</v>
      </c>
      <c r="L56" s="294"/>
      <c r="M56" s="282"/>
      <c r="N56" s="295"/>
    </row>
    <row r="57" spans="1:14" ht="18.649999999999999" customHeight="1" x14ac:dyDescent="0.35">
      <c r="A57" s="267">
        <v>6</v>
      </c>
      <c r="B57" s="1034" t="str">
        <f>'4'!B13</f>
        <v>Plan de Acción para el  mejoramiento</v>
      </c>
      <c r="C57" s="1035"/>
      <c r="D57" s="1035"/>
      <c r="E57" s="1035"/>
      <c r="F57" s="1035"/>
      <c r="G57" s="1035"/>
      <c r="H57" s="1036"/>
      <c r="I57" s="268">
        <f>IF('4'!J$13&lt;&gt;"",'4'!J$13,0)</f>
        <v>0</v>
      </c>
      <c r="J57" s="282">
        <f>IF('4'!K$13&lt;&gt;"",'4'!K$13,0)</f>
        <v>0</v>
      </c>
      <c r="K57" s="295">
        <f>IF('4'!L$13&lt;&gt;"",'4'!L$13,0)</f>
        <v>0</v>
      </c>
      <c r="L57" s="294"/>
      <c r="M57" s="282"/>
      <c r="N57" s="295"/>
    </row>
    <row r="58" spans="1:14" ht="18.649999999999999" customHeight="1" x14ac:dyDescent="0.35">
      <c r="A58" s="267">
        <v>7</v>
      </c>
      <c r="B58" s="1034" t="str">
        <f>'4'!B15</f>
        <v>Implementación de los Planes de Acción</v>
      </c>
      <c r="C58" s="1035"/>
      <c r="D58" s="1035"/>
      <c r="E58" s="1035"/>
      <c r="F58" s="1035"/>
      <c r="G58" s="1035"/>
      <c r="H58" s="1036"/>
      <c r="I58" s="268">
        <f>IF('4'!J$15&lt;&gt;"",'4'!J$15,0)</f>
        <v>0</v>
      </c>
      <c r="J58" s="282">
        <f>IF('4'!K$15&lt;&gt;"",'4'!K$15,0)</f>
        <v>0</v>
      </c>
      <c r="K58" s="295">
        <f>IF('4'!L$15&lt;&gt;"",'4'!L$15,0)</f>
        <v>0</v>
      </c>
      <c r="L58" s="294"/>
      <c r="M58" s="282"/>
      <c r="N58" s="295"/>
    </row>
    <row r="59" spans="1:14" ht="18.649999999999999" customHeight="1" x14ac:dyDescent="0.35">
      <c r="A59" s="267">
        <v>8</v>
      </c>
      <c r="B59" s="1034" t="str">
        <f>'4'!B17</f>
        <v>Documentación y análisis</v>
      </c>
      <c r="C59" s="1035"/>
      <c r="D59" s="1035"/>
      <c r="E59" s="1035"/>
      <c r="F59" s="1035"/>
      <c r="G59" s="1035"/>
      <c r="H59" s="1036"/>
      <c r="I59" s="268">
        <f>IF('4'!J$17&lt;&gt;"",'4'!J$17,0)</f>
        <v>0</v>
      </c>
      <c r="J59" s="282">
        <f>IF('4'!K$17&lt;&gt;"",'4'!K$17,0)</f>
        <v>0</v>
      </c>
      <c r="K59" s="295">
        <f>IF('4'!L$17&lt;&gt;"",'4'!L$17,0)</f>
        <v>0</v>
      </c>
      <c r="L59" s="294"/>
      <c r="M59" s="282"/>
      <c r="N59" s="295"/>
    </row>
    <row r="60" spans="1:14" ht="18.649999999999999" customHeight="1" x14ac:dyDescent="0.35">
      <c r="A60" s="267">
        <v>9</v>
      </c>
      <c r="B60" s="1034" t="str">
        <f>'4'!B19</f>
        <v>Participación</v>
      </c>
      <c r="C60" s="1035"/>
      <c r="D60" s="1035"/>
      <c r="E60" s="1035"/>
      <c r="F60" s="1035"/>
      <c r="G60" s="1035"/>
      <c r="H60" s="1036"/>
      <c r="I60" s="268">
        <f>IF('4'!J$19&lt;&gt;"",'4'!J$19,0)</f>
        <v>0</v>
      </c>
      <c r="J60" s="282">
        <f>IF('4'!K$19&lt;&gt;"",'4'!K$19,0)</f>
        <v>0</v>
      </c>
      <c r="K60" s="295">
        <f>IF('4'!L$19&lt;&gt;"",'4'!L$19,0)</f>
        <v>0</v>
      </c>
      <c r="L60" s="294"/>
      <c r="M60" s="282"/>
      <c r="N60" s="295"/>
    </row>
    <row r="61" spans="1:14" ht="18.649999999999999" customHeight="1" x14ac:dyDescent="0.35">
      <c r="A61" s="267">
        <v>10</v>
      </c>
      <c r="B61" s="1034" t="str">
        <f>'4'!B21</f>
        <v>Compromiso con la Eficiencia Energética EEn.</v>
      </c>
      <c r="C61" s="1035"/>
      <c r="D61" s="1035"/>
      <c r="E61" s="1035"/>
      <c r="F61" s="1035"/>
      <c r="G61" s="1035"/>
      <c r="H61" s="1036"/>
      <c r="I61" s="268">
        <f>IF('4'!J$21&lt;&gt;"",'4'!J$21,0)</f>
        <v>0</v>
      </c>
      <c r="J61" s="282">
        <f>IF('4'!K$21&lt;&gt;"",'4'!K$21,0)</f>
        <v>0</v>
      </c>
      <c r="K61" s="295">
        <f>IF('4'!L$21&lt;&gt;"",'4'!L$21,0)</f>
        <v>0</v>
      </c>
      <c r="L61" s="294"/>
      <c r="M61" s="282"/>
      <c r="N61" s="295"/>
    </row>
    <row r="62" spans="1:14" ht="18.649999999999999" customHeight="1" x14ac:dyDescent="0.35">
      <c r="A62" s="267"/>
      <c r="B62" s="1042"/>
      <c r="C62" s="1043"/>
      <c r="D62" s="1043"/>
      <c r="E62" s="1043"/>
      <c r="F62" s="1043"/>
      <c r="G62" s="1043"/>
      <c r="H62" s="1044"/>
      <c r="I62" s="268"/>
      <c r="J62" s="282"/>
      <c r="K62" s="295"/>
      <c r="L62" s="294"/>
      <c r="M62" s="282"/>
      <c r="N62" s="295"/>
    </row>
    <row r="63" spans="1:14" ht="18.649999999999999" customHeight="1" x14ac:dyDescent="0.35">
      <c r="A63" s="288"/>
      <c r="B63" s="1048"/>
      <c r="C63" s="1049"/>
      <c r="D63" s="1049"/>
      <c r="E63" s="1049"/>
      <c r="F63" s="1049"/>
      <c r="G63" s="1049"/>
      <c r="H63" s="1050"/>
      <c r="I63" s="289"/>
      <c r="J63" s="290"/>
      <c r="K63" s="298"/>
      <c r="L63" s="297"/>
      <c r="M63" s="290"/>
      <c r="N63" s="298"/>
    </row>
    <row r="64" spans="1:14" ht="18.649999999999999" customHeight="1" x14ac:dyDescent="0.35">
      <c r="A64" s="299" t="s">
        <v>755</v>
      </c>
      <c r="B64" s="1051" t="s">
        <v>756</v>
      </c>
      <c r="C64" s="1052"/>
      <c r="D64" s="1052"/>
      <c r="E64" s="1052"/>
      <c r="F64" s="1052"/>
      <c r="G64" s="1052"/>
      <c r="H64" s="1053"/>
      <c r="I64" s="360"/>
      <c r="J64" s="301"/>
      <c r="K64" s="302"/>
      <c r="L64" s="361">
        <f>IFERROR(AVERAGEIF(I65:I70,"&lt;&gt;0",I65:I70),0)</f>
        <v>5</v>
      </c>
      <c r="M64" s="362">
        <f>IFERROR(AVERAGEIF(J65:J70,"&lt;&gt;0",J65:J70),0)</f>
        <v>5</v>
      </c>
      <c r="N64" s="363">
        <f>IFERROR(AVERAGEIF(K65:K70,"&lt;&gt;0",K65:K70),0)</f>
        <v>5</v>
      </c>
    </row>
    <row r="65" spans="1:14" ht="18.649999999999999" customHeight="1" x14ac:dyDescent="0.35">
      <c r="A65" s="267">
        <v>1</v>
      </c>
      <c r="B65" s="1010" t="str">
        <f>'5'!B3</f>
        <v>Certificaciones de calidad</v>
      </c>
      <c r="C65" s="1011"/>
      <c r="D65" s="1011"/>
      <c r="E65" s="1011"/>
      <c r="F65" s="1011"/>
      <c r="G65" s="1011"/>
      <c r="H65" s="1041"/>
      <c r="I65" s="268">
        <f>IF('5'!J$3&lt;&gt;"",'5'!J$3,0)</f>
        <v>5</v>
      </c>
      <c r="J65" s="282">
        <f>IF('5'!K$3&lt;&gt;"",'5'!K$3,0)</f>
        <v>5</v>
      </c>
      <c r="K65" s="295">
        <f>IF('5'!L$3&lt;&gt;"",'5'!L$3,0)</f>
        <v>5</v>
      </c>
      <c r="L65" s="294"/>
      <c r="M65" s="282"/>
      <c r="N65" s="295"/>
    </row>
    <row r="66" spans="1:14" ht="18.649999999999999" customHeight="1" x14ac:dyDescent="0.35">
      <c r="A66" s="267">
        <v>2</v>
      </c>
      <c r="B66" s="1010" t="str">
        <f>'5'!B5</f>
        <v>Gestión de procesos</v>
      </c>
      <c r="C66" s="1011"/>
      <c r="D66" s="1011"/>
      <c r="E66" s="1011"/>
      <c r="F66" s="1011"/>
      <c r="G66" s="1011"/>
      <c r="H66" s="1041"/>
      <c r="I66" s="268">
        <f>IF('5'!J$5&lt;&gt;"",'5'!J$5,0)</f>
        <v>0</v>
      </c>
      <c r="J66" s="282">
        <f>IF('5'!K$5&lt;&gt;"",'5'!K$5,0)</f>
        <v>0</v>
      </c>
      <c r="K66" s="295">
        <f>IF('5'!L$5&lt;&gt;"",'5'!L$5,0)</f>
        <v>0</v>
      </c>
      <c r="L66" s="294"/>
      <c r="M66" s="282"/>
      <c r="N66" s="295"/>
    </row>
    <row r="67" spans="1:14" ht="18.649999999999999" customHeight="1" x14ac:dyDescent="0.35">
      <c r="A67" s="267">
        <v>3</v>
      </c>
      <c r="B67" s="1010" t="str">
        <f>'5'!B7</f>
        <v xml:space="preserve">Equipo de Calidad </v>
      </c>
      <c r="C67" s="1011"/>
      <c r="D67" s="1011"/>
      <c r="E67" s="1011"/>
      <c r="F67" s="1011"/>
      <c r="G67" s="1011"/>
      <c r="H67" s="1041"/>
      <c r="I67" s="268">
        <f>IF('5'!J$7&lt;&gt;"",'5'!J$7,0)</f>
        <v>0</v>
      </c>
      <c r="J67" s="282">
        <f>IF('5'!K$7&lt;&gt;"",'5'!K$7,0)</f>
        <v>0</v>
      </c>
      <c r="K67" s="295">
        <f>IF('5'!L$7&lt;&gt;"",'5'!L$7,0)</f>
        <v>0</v>
      </c>
      <c r="L67" s="294"/>
      <c r="M67" s="282"/>
      <c r="N67" s="295"/>
    </row>
    <row r="68" spans="1:14" ht="18.649999999999999" customHeight="1" x14ac:dyDescent="0.35">
      <c r="A68" s="267">
        <v>4</v>
      </c>
      <c r="B68" s="1010" t="str">
        <f>'5'!B9</f>
        <v xml:space="preserve">Estándares de calidad </v>
      </c>
      <c r="C68" s="1011"/>
      <c r="D68" s="1011"/>
      <c r="E68" s="1011"/>
      <c r="F68" s="1011"/>
      <c r="G68" s="1011"/>
      <c r="H68" s="1041"/>
      <c r="I68" s="268">
        <f>IF('5'!J$9&lt;&gt;"",'5'!J$9,0)</f>
        <v>0</v>
      </c>
      <c r="J68" s="282">
        <f>IF('5'!K$9&lt;&gt;"",'5'!K$9,0)</f>
        <v>0</v>
      </c>
      <c r="K68" s="295">
        <f>IF('5'!L$9&lt;&gt;"",'5'!L$9,0)</f>
        <v>0</v>
      </c>
      <c r="L68" s="294"/>
      <c r="M68" s="282"/>
      <c r="N68" s="295"/>
    </row>
    <row r="69" spans="1:14" ht="18.649999999999999" customHeight="1" x14ac:dyDescent="0.35">
      <c r="A69" s="267">
        <v>5</v>
      </c>
      <c r="B69" s="1010" t="str">
        <f>'5'!B11</f>
        <v xml:space="preserve">Satisfacción del cliente </v>
      </c>
      <c r="C69" s="1011"/>
      <c r="D69" s="1011"/>
      <c r="E69" s="1011"/>
      <c r="F69" s="1011"/>
      <c r="G69" s="1011"/>
      <c r="H69" s="1041"/>
      <c r="I69" s="268">
        <f>IF('5'!J$11&lt;&gt;"",'5'!J$11,0)</f>
        <v>0</v>
      </c>
      <c r="J69" s="282">
        <f>IF('5'!K$11&lt;&gt;"",'5'!K$11,0)</f>
        <v>0</v>
      </c>
      <c r="K69" s="295">
        <f>IF('5'!L$11&lt;&gt;"",'5'!L$11,0)</f>
        <v>0</v>
      </c>
      <c r="L69" s="294"/>
      <c r="M69" s="282"/>
      <c r="N69" s="295"/>
    </row>
    <row r="70" spans="1:14" ht="18.649999999999999" customHeight="1" x14ac:dyDescent="0.35">
      <c r="A70" s="267"/>
      <c r="B70" s="1042"/>
      <c r="C70" s="1043"/>
      <c r="D70" s="1043"/>
      <c r="E70" s="1043"/>
      <c r="F70" s="1043"/>
      <c r="G70" s="1043"/>
      <c r="H70" s="1044"/>
      <c r="I70" s="268"/>
      <c r="J70" s="282"/>
      <c r="K70" s="295"/>
      <c r="L70" s="294"/>
      <c r="M70" s="282"/>
      <c r="N70" s="295"/>
    </row>
    <row r="71" spans="1:14" ht="18.649999999999999" customHeight="1" x14ac:dyDescent="0.35">
      <c r="A71" s="270" t="s">
        <v>757</v>
      </c>
      <c r="B71" s="1045" t="s">
        <v>758</v>
      </c>
      <c r="C71" s="1046"/>
      <c r="D71" s="1046"/>
      <c r="E71" s="1046"/>
      <c r="F71" s="1046"/>
      <c r="G71" s="1046"/>
      <c r="H71" s="1047"/>
      <c r="I71" s="271"/>
      <c r="J71" s="272"/>
      <c r="K71" s="305"/>
      <c r="L71" s="347">
        <f>IFERROR(AVERAGEIF(I72:I82,"&lt;&gt;0",I72:I82),0)</f>
        <v>4</v>
      </c>
      <c r="M71" s="348">
        <f>IFERROR(AVERAGEIF(J72:J82,"&lt;&gt;0",J72:J82),0)</f>
        <v>4</v>
      </c>
      <c r="N71" s="350">
        <f>IFERROR(AVERAGEIF(K72:K82,"&lt;&gt;0",K72:K82),0)</f>
        <v>4</v>
      </c>
    </row>
    <row r="72" spans="1:14" ht="18.649999999999999" customHeight="1" x14ac:dyDescent="0.35">
      <c r="A72" s="281">
        <v>1</v>
      </c>
      <c r="B72" s="1010" t="str">
        <f>'6'!B3</f>
        <v>Desarrollo de nuevos productos o servicios</v>
      </c>
      <c r="C72" s="1011"/>
      <c r="D72" s="1011"/>
      <c r="E72" s="1011"/>
      <c r="F72" s="1011"/>
      <c r="G72" s="1011"/>
      <c r="H72" s="1041"/>
      <c r="I72" s="285">
        <f>IF('6'!J$3&lt;&gt;"",'6'!J$3,0)</f>
        <v>5</v>
      </c>
      <c r="J72" s="286">
        <f>IF('6'!K$3&lt;&gt;"",'6'!K$3,0)</f>
        <v>5</v>
      </c>
      <c r="K72" s="358">
        <f>IF('6'!L$3&lt;&gt;"",'6'!L$3,0)</f>
        <v>5</v>
      </c>
      <c r="L72" s="356"/>
      <c r="M72" s="286"/>
      <c r="N72" s="358"/>
    </row>
    <row r="73" spans="1:14" ht="18.649999999999999" customHeight="1" x14ac:dyDescent="0.35">
      <c r="A73" s="267">
        <v>2</v>
      </c>
      <c r="B73" s="1010" t="str">
        <f>'6'!B5</f>
        <v>Rentabilidad de la inversión en los nuevos productos o servicios</v>
      </c>
      <c r="C73" s="1011"/>
      <c r="D73" s="1011"/>
      <c r="E73" s="1011"/>
      <c r="F73" s="1011"/>
      <c r="G73" s="1011"/>
      <c r="H73" s="1041"/>
      <c r="I73" s="268">
        <f>IF('6'!J$5&lt;&gt;"",'6'!J$5,0)</f>
        <v>4</v>
      </c>
      <c r="J73" s="282">
        <f>IF('6'!K$5&lt;&gt;"",'6'!K$5,0)</f>
        <v>4</v>
      </c>
      <c r="K73" s="295">
        <f>IF('6'!L$5&lt;&gt;"",'6'!L$5,0)</f>
        <v>4</v>
      </c>
      <c r="L73" s="294"/>
      <c r="M73" s="282"/>
      <c r="N73" s="295"/>
    </row>
    <row r="74" spans="1:14" ht="18.649999999999999" customHeight="1" x14ac:dyDescent="0.35">
      <c r="A74" s="267">
        <v>3</v>
      </c>
      <c r="B74" s="1010" t="str">
        <f>'6'!B7</f>
        <v>Agilidad</v>
      </c>
      <c r="C74" s="1011"/>
      <c r="D74" s="1011"/>
      <c r="E74" s="1011"/>
      <c r="F74" s="1011"/>
      <c r="G74" s="1011"/>
      <c r="H74" s="1041"/>
      <c r="I74" s="268">
        <f>IF('6'!J$7&lt;&gt;"",'6'!J$7,0)</f>
        <v>3</v>
      </c>
      <c r="J74" s="282">
        <f>IF('6'!K$7&lt;&gt;"",'6'!K$7,0)</f>
        <v>3</v>
      </c>
      <c r="K74" s="295">
        <f>IF('6'!L$7&lt;&gt;"",'6'!L$7,0)</f>
        <v>3</v>
      </c>
      <c r="L74" s="294"/>
      <c r="M74" s="282"/>
      <c r="N74" s="295"/>
    </row>
    <row r="75" spans="1:14" ht="18.649999999999999" customHeight="1" x14ac:dyDescent="0.35">
      <c r="A75" s="267">
        <v>4</v>
      </c>
      <c r="B75" s="1010" t="str">
        <f>'6'!B9</f>
        <v>Personal dedicado a I+D+i</v>
      </c>
      <c r="C75" s="1011"/>
      <c r="D75" s="1011"/>
      <c r="E75" s="1011"/>
      <c r="F75" s="1011"/>
      <c r="G75" s="1011"/>
      <c r="H75" s="1041"/>
      <c r="I75" s="268">
        <f>IF('6'!J$9&lt;&gt;"",'6'!J$9,0)</f>
        <v>0</v>
      </c>
      <c r="J75" s="282">
        <f>IF('6'!K$9&lt;&gt;"",'6'!K$9,0)</f>
        <v>0</v>
      </c>
      <c r="K75" s="295">
        <f>IF('6'!L$9&lt;&gt;"",'6'!L$9,0)</f>
        <v>0</v>
      </c>
      <c r="L75" s="294"/>
      <c r="M75" s="282"/>
      <c r="N75" s="295"/>
    </row>
    <row r="76" spans="1:14" ht="18.649999999999999" customHeight="1" x14ac:dyDescent="0.35">
      <c r="A76" s="267">
        <v>5</v>
      </c>
      <c r="B76" s="1010" t="str">
        <f>'6'!B11</f>
        <v>Quién hace el desarrollo de nuevos servicios o productos</v>
      </c>
      <c r="C76" s="1011"/>
      <c r="D76" s="1011"/>
      <c r="E76" s="1011"/>
      <c r="F76" s="1011"/>
      <c r="G76" s="1011"/>
      <c r="H76" s="1041"/>
      <c r="I76" s="268">
        <f>IF('6'!J$11&lt;&gt;"",'6'!J$11,0)</f>
        <v>0</v>
      </c>
      <c r="J76" s="282">
        <f>IF('6'!K$11&lt;&gt;"",'6'!K$11,0)</f>
        <v>0</v>
      </c>
      <c r="K76" s="295">
        <f>IF('6'!L$11&lt;&gt;"",'6'!L$11,0)</f>
        <v>0</v>
      </c>
      <c r="L76" s="294"/>
      <c r="M76" s="282"/>
      <c r="N76" s="295"/>
    </row>
    <row r="77" spans="1:14" ht="18.649999999999999" customHeight="1" x14ac:dyDescent="0.35">
      <c r="A77" s="267">
        <v>6</v>
      </c>
      <c r="B77" s="1010" t="str">
        <f>'6'!B13</f>
        <v>Se considera la capacidad del proceso en el desarrollo de nuevos productos o servicios</v>
      </c>
      <c r="C77" s="1011"/>
      <c r="D77" s="1011"/>
      <c r="E77" s="1011"/>
      <c r="F77" s="1011"/>
      <c r="G77" s="1011"/>
      <c r="H77" s="1041"/>
      <c r="I77" s="268">
        <f>IF('6'!J$13&lt;&gt;"",'6'!J$13,0)</f>
        <v>0</v>
      </c>
      <c r="J77" s="282">
        <f>IF('6'!K$13&lt;&gt;"",'6'!K$13,0)</f>
        <v>0</v>
      </c>
      <c r="K77" s="295">
        <f>IF('6'!L$13&lt;&gt;"",'6'!L$13,0)</f>
        <v>0</v>
      </c>
      <c r="L77" s="294"/>
      <c r="M77" s="282"/>
      <c r="N77" s="295"/>
    </row>
    <row r="78" spans="1:14" ht="18.649999999999999" customHeight="1" x14ac:dyDescent="0.35">
      <c r="A78" s="267">
        <v>7</v>
      </c>
      <c r="B78" s="1010" t="str">
        <f>'6'!B15</f>
        <v>Articulación</v>
      </c>
      <c r="C78" s="1011"/>
      <c r="D78" s="1011"/>
      <c r="E78" s="1011"/>
      <c r="F78" s="1011"/>
      <c r="G78" s="1011"/>
      <c r="H78" s="1041"/>
      <c r="I78" s="268">
        <f>IF('6'!J$15&lt;&gt;"",'6'!J$15,0)</f>
        <v>0</v>
      </c>
      <c r="J78" s="282">
        <f>IF('6'!K$15&lt;&gt;"",'6'!K$15,0)</f>
        <v>0</v>
      </c>
      <c r="K78" s="295">
        <f>IF('6'!L$15&lt;&gt;"",'6'!L$15,0)</f>
        <v>0</v>
      </c>
      <c r="L78" s="294"/>
      <c r="M78" s="282"/>
      <c r="N78" s="295"/>
    </row>
    <row r="79" spans="1:14" ht="18.649999999999999" customHeight="1" x14ac:dyDescent="0.35">
      <c r="A79" s="267">
        <v>8</v>
      </c>
      <c r="B79" s="1010" t="str">
        <f>'6'!B17</f>
        <v>Cuál es el nivel de participación de los proveedores en el desarrollo de productos o servicios</v>
      </c>
      <c r="C79" s="1011"/>
      <c r="D79" s="1011"/>
      <c r="E79" s="1011"/>
      <c r="F79" s="1011"/>
      <c r="G79" s="1011"/>
      <c r="H79" s="1041"/>
      <c r="I79" s="268">
        <f>IF('6'!J$17&lt;&gt;"",'6'!J$17,0)</f>
        <v>0</v>
      </c>
      <c r="J79" s="282">
        <f>IF('6'!K$17&lt;&gt;"",'6'!K$17,0)</f>
        <v>0</v>
      </c>
      <c r="K79" s="295">
        <f>IF('6'!L$17&lt;&gt;"",'6'!L$17,0)</f>
        <v>0</v>
      </c>
      <c r="L79" s="294"/>
      <c r="M79" s="282"/>
      <c r="N79" s="295"/>
    </row>
    <row r="80" spans="1:14" ht="18.649999999999999" customHeight="1" x14ac:dyDescent="0.35">
      <c r="A80" s="267">
        <v>9</v>
      </c>
      <c r="B80" s="1010" t="str">
        <f>'6'!B19</f>
        <v>Inversión en I+D+i 
(Investigación, desarrollo e innovación)</v>
      </c>
      <c r="C80" s="1011"/>
      <c r="D80" s="1011"/>
      <c r="E80" s="1011"/>
      <c r="F80" s="1011"/>
      <c r="G80" s="1011"/>
      <c r="H80" s="1041"/>
      <c r="I80" s="268">
        <f>IF('6'!J$19&lt;&gt;"",'6'!J$19,0)</f>
        <v>0</v>
      </c>
      <c r="J80" s="282">
        <f>IF('6'!K$19&lt;&gt;"",'6'!K$19,0)</f>
        <v>0</v>
      </c>
      <c r="K80" s="295">
        <f>IF('6'!L$19&lt;&gt;"",'6'!L$19,0)</f>
        <v>0</v>
      </c>
      <c r="L80" s="294"/>
      <c r="M80" s="282"/>
      <c r="N80" s="295"/>
    </row>
    <row r="81" spans="1:14" ht="18.649999999999999" customHeight="1" x14ac:dyDescent="0.35">
      <c r="A81" s="267">
        <v>10</v>
      </c>
      <c r="B81" s="1010" t="str">
        <f>'6'!B21</f>
        <v>Portafolio de proyectos de innovación</v>
      </c>
      <c r="C81" s="1011"/>
      <c r="D81" s="1011"/>
      <c r="E81" s="1011"/>
      <c r="F81" s="1011"/>
      <c r="G81" s="1011"/>
      <c r="H81" s="1041"/>
      <c r="I81" s="268">
        <f>IF('6'!J$21&lt;&gt;"",'6'!J$21,0)</f>
        <v>0</v>
      </c>
      <c r="J81" s="282">
        <f>IF('6'!K$21&lt;&gt;"",'6'!K$21,0)</f>
        <v>0</v>
      </c>
      <c r="K81" s="295">
        <f>IF('6'!L$21&lt;&gt;"",'6'!L$21,0)</f>
        <v>0</v>
      </c>
      <c r="L81" s="294"/>
      <c r="M81" s="282"/>
      <c r="N81" s="295"/>
    </row>
    <row r="82" spans="1:14" ht="18.649999999999999" customHeight="1" x14ac:dyDescent="0.35">
      <c r="A82" s="267">
        <v>11</v>
      </c>
      <c r="B82" s="1010" t="str">
        <f>'6'!B23</f>
        <v>Propiedad intelectual y mecanismos de protección.</v>
      </c>
      <c r="C82" s="1011"/>
      <c r="D82" s="1011"/>
      <c r="E82" s="1011"/>
      <c r="F82" s="1011"/>
      <c r="G82" s="1011"/>
      <c r="H82" s="1041"/>
      <c r="I82" s="268">
        <f>IF('6'!J$23&lt;&gt;"",'6'!J$23,0)</f>
        <v>0</v>
      </c>
      <c r="J82" s="282">
        <f>IF('6'!K$23&lt;&gt;"",'6'!K$23,0)</f>
        <v>0</v>
      </c>
      <c r="K82" s="295">
        <f>IF('6'!L$23&lt;&gt;"",'6'!L$23,0)</f>
        <v>0</v>
      </c>
      <c r="L82" s="294"/>
      <c r="M82" s="282"/>
      <c r="N82" s="295"/>
    </row>
    <row r="84" spans="1:14" ht="18.649999999999999" customHeight="1" x14ac:dyDescent="0.35">
      <c r="A84" s="270" t="s">
        <v>759</v>
      </c>
      <c r="B84" s="787" t="s">
        <v>760</v>
      </c>
      <c r="C84" s="793"/>
      <c r="D84" s="793"/>
      <c r="E84" s="793"/>
      <c r="F84" s="793"/>
      <c r="G84" s="793"/>
      <c r="H84" s="793"/>
      <c r="I84" s="364"/>
      <c r="J84" s="348"/>
      <c r="K84" s="350"/>
      <c r="L84" s="347">
        <f>IFERROR(AVERAGEIF(I85:I94,"&lt;&gt;0",I85:I94),0)</f>
        <v>5</v>
      </c>
      <c r="M84" s="347">
        <f t="shared" ref="M84:N84" si="0">IFERROR(AVERAGEIF(J85:J94,"&lt;&gt;0",J85:J94),0)</f>
        <v>5</v>
      </c>
      <c r="N84" s="347">
        <f t="shared" si="0"/>
        <v>5</v>
      </c>
    </row>
    <row r="85" spans="1:14" ht="18.649999999999999" customHeight="1" x14ac:dyDescent="0.35">
      <c r="A85" s="267">
        <v>1</v>
      </c>
      <c r="B85" s="1010" t="str">
        <f>'7'!B3</f>
        <v>Visión</v>
      </c>
      <c r="C85" s="1011"/>
      <c r="D85" s="1011"/>
      <c r="E85" s="1011"/>
      <c r="F85" s="1011"/>
      <c r="G85" s="1011"/>
      <c r="H85" s="1041"/>
      <c r="I85" s="268">
        <f>IF('7'!J$3&lt;&gt;"",'7'!J$3,0)</f>
        <v>5</v>
      </c>
      <c r="J85" s="282">
        <f>IF('7'!K$3&lt;&gt;"",'7'!K$3,0)</f>
        <v>5</v>
      </c>
      <c r="K85" s="295">
        <f>IF('7'!L$3&lt;&gt;"",'7'!L$3,0)</f>
        <v>5</v>
      </c>
      <c r="L85" s="294"/>
      <c r="M85" s="282"/>
      <c r="N85" s="295"/>
    </row>
    <row r="86" spans="1:14" ht="18.649999999999999" customHeight="1" x14ac:dyDescent="0.35">
      <c r="A86" s="267">
        <v>2</v>
      </c>
      <c r="B86" s="1010" t="str">
        <f>'7'!B5</f>
        <v xml:space="preserve">Personal </v>
      </c>
      <c r="C86" s="1011"/>
      <c r="D86" s="1011"/>
      <c r="E86" s="1011"/>
      <c r="F86" s="1011"/>
      <c r="G86" s="1011"/>
      <c r="H86" s="1041"/>
      <c r="I86" s="268">
        <f>IF('7'!J$5&lt;&gt;"",'7'!J$5,0)</f>
        <v>0</v>
      </c>
      <c r="J86" s="282">
        <f>IF('7'!K$5&lt;&gt;"",'7'!K$5,0)</f>
        <v>0</v>
      </c>
      <c r="K86" s="295">
        <f>IF('7'!L$5&lt;&gt;"",'7'!L$5,0)</f>
        <v>0</v>
      </c>
      <c r="L86" s="294"/>
      <c r="M86" s="282"/>
      <c r="N86" s="295"/>
    </row>
    <row r="87" spans="1:14" ht="18.649999999999999" customHeight="1" x14ac:dyDescent="0.35">
      <c r="A87" s="308">
        <v>3</v>
      </c>
      <c r="B87" s="1010" t="str">
        <f>'7'!B7</f>
        <v>Experiencia de   transformación digital del cliente</v>
      </c>
      <c r="C87" s="1011"/>
      <c r="D87" s="1011"/>
      <c r="E87" s="1011"/>
      <c r="F87" s="1011"/>
      <c r="G87" s="1011"/>
      <c r="H87" s="1041"/>
      <c r="I87" s="365">
        <f>IF('7'!J$7&lt;&gt;"",'7'!J$7,0)</f>
        <v>0</v>
      </c>
      <c r="J87" s="310">
        <f>IF('7'!K$7&lt;&gt;"",'7'!K$7,0)</f>
        <v>0</v>
      </c>
      <c r="K87" s="311">
        <f>IF('7'!L$7&lt;&gt;"",'7'!L$7,0)</f>
        <v>0</v>
      </c>
      <c r="L87" s="309"/>
      <c r="M87" s="310"/>
      <c r="N87" s="311"/>
    </row>
    <row r="88" spans="1:14" ht="18.649999999999999" customHeight="1" x14ac:dyDescent="0.35">
      <c r="A88" s="267">
        <v>4</v>
      </c>
      <c r="B88" s="1010" t="str">
        <f>'7'!B9</f>
        <v>Canales</v>
      </c>
      <c r="C88" s="1011"/>
      <c r="D88" s="1011"/>
      <c r="E88" s="1011"/>
      <c r="F88" s="1011"/>
      <c r="G88" s="1011"/>
      <c r="H88" s="1041"/>
      <c r="I88" s="268">
        <f>IF('7'!J$9&lt;&gt;"",'7'!J$9,0)</f>
        <v>0</v>
      </c>
      <c r="J88" s="282">
        <f>IF('7'!K$9&lt;&gt;"",'7'!K$9,0)</f>
        <v>0</v>
      </c>
      <c r="K88" s="295">
        <f>IF('7'!L$9&lt;&gt;"",'7'!L$9,0)</f>
        <v>0</v>
      </c>
      <c r="L88" s="294"/>
      <c r="M88" s="282"/>
      <c r="N88" s="295"/>
    </row>
    <row r="89" spans="1:14" ht="18.649999999999999" customHeight="1" x14ac:dyDescent="0.35">
      <c r="A89" s="267">
        <v>5</v>
      </c>
      <c r="B89" s="1010" t="str">
        <f>'7'!B11</f>
        <v>Innovación</v>
      </c>
      <c r="C89" s="1011"/>
      <c r="D89" s="1011"/>
      <c r="E89" s="1011"/>
      <c r="F89" s="1011"/>
      <c r="G89" s="1011"/>
      <c r="H89" s="1041"/>
      <c r="I89" s="268">
        <f>IF('7'!J$11&lt;&gt;"",'7'!J$11,0)</f>
        <v>0</v>
      </c>
      <c r="J89" s="282">
        <f>IF('7'!K$11&lt;&gt;"",'7'!K$11,0)</f>
        <v>0</v>
      </c>
      <c r="K89" s="295">
        <f>IF('7'!L$11&lt;&gt;"",'7'!L$11,0)</f>
        <v>0</v>
      </c>
      <c r="L89" s="294"/>
      <c r="M89" s="282"/>
      <c r="N89" s="295"/>
    </row>
    <row r="90" spans="1:14" ht="18.649999999999999" customHeight="1" x14ac:dyDescent="0.35">
      <c r="A90" s="267">
        <v>6</v>
      </c>
      <c r="B90" s="1010" t="str">
        <f>'7'!B13</f>
        <v>Inteligencia de Negocio</v>
      </c>
      <c r="C90" s="1011"/>
      <c r="D90" s="1011"/>
      <c r="E90" s="1011"/>
      <c r="F90" s="1011"/>
      <c r="G90" s="1011"/>
      <c r="H90" s="1041"/>
      <c r="I90" s="268">
        <f>IF('7'!J$13&lt;&gt;"",'7'!J$13,0)</f>
        <v>0</v>
      </c>
      <c r="J90" s="282">
        <f>IF('7'!K$13&lt;&gt;"",'7'!K$13,0)</f>
        <v>0</v>
      </c>
      <c r="K90" s="295">
        <f>IF('7'!L$13&lt;&gt;"",'7'!L$13,0)</f>
        <v>0</v>
      </c>
      <c r="L90" s="294"/>
      <c r="M90" s="282"/>
      <c r="N90" s="295"/>
    </row>
    <row r="91" spans="1:14" ht="18.649999999999999" customHeight="1" x14ac:dyDescent="0.35">
      <c r="A91" s="267">
        <v>7</v>
      </c>
      <c r="B91" s="1010" t="str">
        <f>'7'!B15</f>
        <v>Marketing</v>
      </c>
      <c r="C91" s="1011"/>
      <c r="D91" s="1011"/>
      <c r="E91" s="1011"/>
      <c r="F91" s="1011"/>
      <c r="G91" s="1011"/>
      <c r="H91" s="1041"/>
      <c r="I91" s="268">
        <f>IF('7'!J$15&lt;&gt;"",'7'!J$15,0)</f>
        <v>0</v>
      </c>
      <c r="J91" s="282">
        <f>IF('7'!K$15&lt;&gt;"",'7'!K$15,0)</f>
        <v>0</v>
      </c>
      <c r="K91" s="295">
        <f>IF('7'!L$15&lt;&gt;"",'7'!L$15,0)</f>
        <v>0</v>
      </c>
      <c r="L91" s="294"/>
      <c r="M91" s="282"/>
      <c r="N91" s="295"/>
    </row>
    <row r="92" spans="1:14" ht="18.649999999999999" customHeight="1" x14ac:dyDescent="0.35">
      <c r="A92" s="267">
        <v>8</v>
      </c>
      <c r="B92" s="1010" t="str">
        <f>'7'!B17</f>
        <v>Monetización virtual</v>
      </c>
      <c r="C92" s="1011"/>
      <c r="D92" s="1011"/>
      <c r="E92" s="1011"/>
      <c r="F92" s="1011"/>
      <c r="G92" s="1011"/>
      <c r="H92" s="1041"/>
      <c r="I92" s="268">
        <f>IF('7'!J$17&lt;&gt;"",'7'!J$17,0)</f>
        <v>0</v>
      </c>
      <c r="J92" s="282">
        <f>IF('7'!K$17&lt;&gt;"",'7'!K$17,0)</f>
        <v>0</v>
      </c>
      <c r="K92" s="295">
        <f>IF('7'!L$17&lt;&gt;"",'7'!L$17,0)</f>
        <v>0</v>
      </c>
      <c r="L92" s="294"/>
      <c r="M92" s="282"/>
      <c r="N92" s="295"/>
    </row>
    <row r="93" spans="1:14" ht="18.649999999999999" customHeight="1" x14ac:dyDescent="0.35">
      <c r="A93" s="267">
        <v>9</v>
      </c>
      <c r="B93" s="1010" t="str">
        <f>'7'!B19</f>
        <v>Compras de la empresa</v>
      </c>
      <c r="C93" s="1011"/>
      <c r="D93" s="1011"/>
      <c r="E93" s="1011"/>
      <c r="F93" s="1011"/>
      <c r="G93" s="1011"/>
      <c r="H93" s="1041"/>
      <c r="I93" s="268">
        <f>IF('7'!J$19&lt;&gt;"",'7'!J$19,0)</f>
        <v>0</v>
      </c>
      <c r="J93" s="282">
        <f>IF('7'!K$19&lt;&gt;"",'7'!K$19,0)</f>
        <v>0</v>
      </c>
      <c r="K93" s="295">
        <f>IF('7'!L$19&lt;&gt;"",'7'!L$19,0)</f>
        <v>0</v>
      </c>
      <c r="L93" s="294"/>
      <c r="M93" s="282"/>
      <c r="N93" s="295"/>
    </row>
    <row r="94" spans="1:14" ht="18.649999999999999" customHeight="1" x14ac:dyDescent="0.35">
      <c r="A94" s="267">
        <v>10</v>
      </c>
      <c r="B94" s="1054" t="str">
        <f>'7'!B21</f>
        <v>Gestión financiera y administrativa</v>
      </c>
      <c r="C94" s="1054"/>
      <c r="D94" s="1054"/>
      <c r="E94" s="1054"/>
      <c r="F94" s="1054"/>
      <c r="G94" s="1054"/>
      <c r="H94" s="1055"/>
      <c r="I94" s="366">
        <f>IF('7'!J$21&lt;&gt;"",'7'!J$21,0)</f>
        <v>0</v>
      </c>
      <c r="J94" s="367">
        <f>IF('7'!K$21&lt;&gt;"",'7'!K$21,0)</f>
        <v>0</v>
      </c>
      <c r="K94" s="368">
        <f>IF('7'!L$21&lt;&gt;"",'7'!L$21,0)</f>
        <v>0</v>
      </c>
      <c r="L94" s="294"/>
      <c r="M94" s="282"/>
      <c r="N94" s="295"/>
    </row>
    <row r="95" spans="1:14" ht="18.649999999999999" customHeight="1" x14ac:dyDescent="0.45">
      <c r="A95" s="312" t="s">
        <v>761</v>
      </c>
      <c r="B95" s="1023" t="s">
        <v>762</v>
      </c>
      <c r="C95" s="1023"/>
      <c r="D95" s="1023"/>
      <c r="E95" s="1023"/>
      <c r="F95" s="1023"/>
      <c r="G95" s="1023"/>
      <c r="H95" s="1024"/>
      <c r="I95" s="369"/>
      <c r="J95" s="313"/>
      <c r="K95" s="370"/>
      <c r="L95" s="371">
        <f>IFERROR(AVERAGEIF(I96:I109,"&lt;&gt;0",I96:I109),0)</f>
        <v>5</v>
      </c>
      <c r="M95" s="372">
        <f>IFERROR(AVERAGEIF(J96:J109,"&lt;&gt;0",J96:J109),0)</f>
        <v>5</v>
      </c>
      <c r="N95" s="314">
        <f>IFERROR(AVERAGEIF(K96:K109,"&lt;&gt;0",K96:K109),0)</f>
        <v>5</v>
      </c>
    </row>
    <row r="96" spans="1:14" ht="18.649999999999999" customHeight="1" x14ac:dyDescent="0.45">
      <c r="A96" s="267">
        <v>1</v>
      </c>
      <c r="B96" s="1009" t="str">
        <f>'8'!B3</f>
        <v>Costo logístico nacional</v>
      </c>
      <c r="C96" s="1009"/>
      <c r="D96" s="1009"/>
      <c r="E96" s="1009"/>
      <c r="F96" s="1009"/>
      <c r="G96" s="1009"/>
      <c r="H96" s="1010"/>
      <c r="I96" s="373">
        <f>IF('8'!J$3&lt;&gt;"",'8'!J$3,0)</f>
        <v>5</v>
      </c>
      <c r="J96" s="315">
        <f>IF('8'!K$3&lt;&gt;"",'8'!K$3,0)</f>
        <v>5</v>
      </c>
      <c r="K96" s="374">
        <f>IF('8'!L$3&lt;&gt;"",'8'!L$3,0)</f>
        <v>5</v>
      </c>
      <c r="L96" s="373"/>
      <c r="M96" s="315"/>
      <c r="N96" s="316"/>
    </row>
    <row r="97" spans="1:14" ht="18.649999999999999" customHeight="1" x14ac:dyDescent="0.45">
      <c r="A97" s="267">
        <v>2</v>
      </c>
      <c r="B97" s="1009" t="str">
        <f>'8'!B5</f>
        <v>Costo logístico comercio exterior</v>
      </c>
      <c r="C97" s="1009"/>
      <c r="D97" s="1009"/>
      <c r="E97" s="1009"/>
      <c r="F97" s="1009"/>
      <c r="G97" s="1009"/>
      <c r="H97" s="1010"/>
      <c r="I97" s="373">
        <f>IF('8'!J$5&lt;&gt;"",'8'!J$5,0)</f>
        <v>0</v>
      </c>
      <c r="J97" s="315">
        <f>IF('8'!K$5&lt;&gt;"",'8'!K$5,0)</f>
        <v>0</v>
      </c>
      <c r="K97" s="374">
        <f>IF('8'!L$5&lt;&gt;"",'8'!L$5,0)</f>
        <v>0</v>
      </c>
      <c r="L97" s="373"/>
      <c r="M97" s="315"/>
      <c r="N97" s="316"/>
    </row>
    <row r="98" spans="1:14" ht="18.649999999999999" customHeight="1" x14ac:dyDescent="0.45">
      <c r="A98" s="267">
        <v>3</v>
      </c>
      <c r="B98" s="1009" t="str">
        <f>'8'!B7</f>
        <v>Tiempo de cargue y descargue</v>
      </c>
      <c r="C98" s="1009"/>
      <c r="D98" s="1009"/>
      <c r="E98" s="1009"/>
      <c r="F98" s="1009"/>
      <c r="G98" s="1009"/>
      <c r="H98" s="1010"/>
      <c r="I98" s="373">
        <f>IF('8'!J$7&lt;&gt;"",'8'!J$7,0)</f>
        <v>0</v>
      </c>
      <c r="J98" s="315">
        <f>IF('8'!K$7&lt;&gt;"",'8'!K$7,0)</f>
        <v>0</v>
      </c>
      <c r="K98" s="374">
        <f>IF('8'!L$7&lt;&gt;"",'8'!L$7,0)</f>
        <v>0</v>
      </c>
      <c r="L98" s="373"/>
      <c r="M98" s="315"/>
      <c r="N98" s="316"/>
    </row>
    <row r="99" spans="1:14" ht="18.649999999999999" customHeight="1" x14ac:dyDescent="0.45">
      <c r="A99" s="267"/>
      <c r="B99" s="1009"/>
      <c r="C99" s="1009"/>
      <c r="D99" s="1009"/>
      <c r="E99" s="1009"/>
      <c r="F99" s="1009"/>
      <c r="G99" s="1009"/>
      <c r="H99" s="1010"/>
      <c r="I99" s="373">
        <f>IF('8'!J$9&lt;&gt;"",'8'!J$9,0)</f>
        <v>0</v>
      </c>
      <c r="J99" s="315">
        <f>IF('8'!K$9&lt;&gt;"",'8'!K$9,0)</f>
        <v>0</v>
      </c>
      <c r="K99" s="374">
        <f>IF('8'!L$9&lt;&gt;"",'8'!L$9,0)</f>
        <v>0</v>
      </c>
      <c r="L99" s="373"/>
      <c r="M99" s="315"/>
      <c r="N99" s="316"/>
    </row>
    <row r="100" spans="1:14" ht="18.649999999999999" customHeight="1" x14ac:dyDescent="0.45">
      <c r="A100" s="317"/>
      <c r="B100" s="1009"/>
      <c r="C100" s="1009"/>
      <c r="D100" s="1009"/>
      <c r="E100" s="1009"/>
      <c r="F100" s="1009"/>
      <c r="G100" s="1009"/>
      <c r="H100" s="1010"/>
      <c r="I100" s="373">
        <f>IF('8'!J$11&lt;&gt;"",'8'!J$11,0)</f>
        <v>0</v>
      </c>
      <c r="J100" s="315">
        <f>IF('8'!K$11&lt;&gt;"",'8'!K$11,0)</f>
        <v>0</v>
      </c>
      <c r="K100" s="374">
        <f>IF('8'!L$11&lt;&gt;"",'8'!L$11,0)</f>
        <v>0</v>
      </c>
      <c r="L100" s="373"/>
      <c r="M100" s="315"/>
      <c r="N100" s="316"/>
    </row>
    <row r="101" spans="1:14" ht="18.649999999999999" customHeight="1" x14ac:dyDescent="0.45">
      <c r="A101" s="267"/>
      <c r="B101" s="1009"/>
      <c r="C101" s="1009"/>
      <c r="D101" s="1009"/>
      <c r="E101" s="1009"/>
      <c r="F101" s="1009"/>
      <c r="G101" s="1009"/>
      <c r="H101" s="1010"/>
      <c r="I101" s="373">
        <f>IF('8'!J$13&lt;&gt;"",'8'!J$13,0)</f>
        <v>0</v>
      </c>
      <c r="J101" s="315">
        <f>IF('8'!K$13&lt;&gt;"",'8'!K$13,0)</f>
        <v>0</v>
      </c>
      <c r="K101" s="374">
        <f>IF('8'!L$13&lt;&gt;"",'8'!L$13,0)</f>
        <v>0</v>
      </c>
      <c r="L101" s="373"/>
      <c r="M101" s="315"/>
      <c r="N101" s="316"/>
    </row>
    <row r="102" spans="1:14" ht="18.649999999999999" customHeight="1" x14ac:dyDescent="0.45">
      <c r="A102" s="267">
        <v>4</v>
      </c>
      <c r="B102" s="1009" t="str">
        <f>'8'!B15</f>
        <v>Tiempo de abastecimiento y distribución</v>
      </c>
      <c r="C102" s="1009"/>
      <c r="D102" s="1009"/>
      <c r="E102" s="1009"/>
      <c r="F102" s="1009"/>
      <c r="G102" s="1009"/>
      <c r="H102" s="1010"/>
      <c r="I102" s="373">
        <f>IF('8'!J$15&lt;&gt;"",'8'!J$15,0)</f>
        <v>0</v>
      </c>
      <c r="J102" s="315">
        <f>IF('8'!K$15&lt;&gt;"",'8'!K$15,0)</f>
        <v>0</v>
      </c>
      <c r="K102" s="374">
        <f>IF('8'!L$15&lt;&gt;"",'8'!L$15,0)</f>
        <v>0</v>
      </c>
      <c r="L102" s="373"/>
      <c r="M102" s="315"/>
      <c r="N102" s="316"/>
    </row>
    <row r="103" spans="1:14" ht="18.649999999999999" customHeight="1" x14ac:dyDescent="0.45">
      <c r="A103" s="375"/>
      <c r="B103" s="1057"/>
      <c r="C103" s="1057"/>
      <c r="D103" s="1057"/>
      <c r="E103" s="1057"/>
      <c r="F103" s="1057"/>
      <c r="G103" s="1057"/>
      <c r="H103" s="1058"/>
      <c r="I103" s="376">
        <f>IF('8'!J$17&lt;&gt;"",'8'!J$17,0)</f>
        <v>0</v>
      </c>
      <c r="J103" s="327">
        <f>IF('8'!K$17&lt;&gt;"",'8'!K$17,0)</f>
        <v>0</v>
      </c>
      <c r="K103" s="377">
        <f>IF('8'!L$17&lt;&gt;"",'8'!L$17,0)</f>
        <v>0</v>
      </c>
      <c r="L103" s="376"/>
      <c r="M103" s="327"/>
      <c r="N103" s="378"/>
    </row>
    <row r="104" spans="1:14" ht="18.649999999999999" customHeight="1" x14ac:dyDescent="0.45">
      <c r="A104" s="281">
        <v>5</v>
      </c>
      <c r="B104" s="1054" t="str">
        <f>'8'!B19</f>
        <v>Costos internos y externos de No-calidad</v>
      </c>
      <c r="C104" s="1054"/>
      <c r="D104" s="1054"/>
      <c r="E104" s="1054"/>
      <c r="F104" s="1054"/>
      <c r="G104" s="1054"/>
      <c r="H104" s="1055"/>
      <c r="I104" s="379">
        <f>IF('8'!J$19&lt;&gt;"",'8'!J$19,0)</f>
        <v>0</v>
      </c>
      <c r="J104" s="380">
        <f>IF('8'!K$19&lt;&gt;"",'8'!K$19,0)</f>
        <v>0</v>
      </c>
      <c r="K104" s="381">
        <f>IF('8'!L$19&lt;&gt;"",'8'!L$19,0)</f>
        <v>0</v>
      </c>
      <c r="L104" s="379"/>
      <c r="M104" s="380"/>
      <c r="N104" s="382"/>
    </row>
    <row r="105" spans="1:14" ht="18.649999999999999" customHeight="1" x14ac:dyDescent="0.45">
      <c r="A105" s="267">
        <v>6</v>
      </c>
      <c r="B105" s="1009" t="str">
        <f>'8'!B21</f>
        <v>Gestión de los costos totales de entrega</v>
      </c>
      <c r="C105" s="1009"/>
      <c r="D105" s="1009"/>
      <c r="E105" s="1009"/>
      <c r="F105" s="1009"/>
      <c r="G105" s="1009"/>
      <c r="H105" s="1010"/>
      <c r="I105" s="373">
        <f>IF('8'!J$21&lt;&gt;"",'8'!J$21,0)</f>
        <v>0</v>
      </c>
      <c r="J105" s="315">
        <f>IF('8'!K$21&lt;&gt;"",'8'!K$21,0)</f>
        <v>0</v>
      </c>
      <c r="K105" s="374">
        <f>IF('8'!L$21&lt;&gt;"",'8'!L$21,0)</f>
        <v>0</v>
      </c>
      <c r="L105" s="373"/>
      <c r="M105" s="315"/>
      <c r="N105" s="316"/>
    </row>
    <row r="106" spans="1:14" ht="18.649999999999999" customHeight="1" x14ac:dyDescent="0.45">
      <c r="A106" s="267">
        <v>7</v>
      </c>
      <c r="B106" s="1009" t="str">
        <f>'8'!B23</f>
        <v>Automatización de procesos logísticos</v>
      </c>
      <c r="C106" s="1009"/>
      <c r="D106" s="1009"/>
      <c r="E106" s="1009"/>
      <c r="F106" s="1009"/>
      <c r="G106" s="1009"/>
      <c r="H106" s="1010"/>
      <c r="I106" s="373">
        <f>IF('8'!J$23&lt;&gt;"",'8'!J$23,0)</f>
        <v>0</v>
      </c>
      <c r="J106" s="315">
        <f>IF('8'!K$23&lt;&gt;"",'8'!K$23,0)</f>
        <v>0</v>
      </c>
      <c r="K106" s="374">
        <f>IF('8'!L$23&lt;&gt;"",'8'!L$23,0)</f>
        <v>0</v>
      </c>
      <c r="L106" s="373"/>
      <c r="M106" s="315"/>
      <c r="N106" s="316"/>
    </row>
    <row r="107" spans="1:14" ht="18.649999999999999" customHeight="1" x14ac:dyDescent="0.45">
      <c r="A107" s="267">
        <v>8</v>
      </c>
      <c r="B107" s="1009" t="str">
        <f>'8'!B25</f>
        <v xml:space="preserve">Qué tan importante es el pronóstico para la planeación logística </v>
      </c>
      <c r="C107" s="1009"/>
      <c r="D107" s="1009"/>
      <c r="E107" s="1009"/>
      <c r="F107" s="1009"/>
      <c r="G107" s="1009"/>
      <c r="H107" s="1010"/>
      <c r="I107" s="373">
        <f>IF('8'!J$25&lt;&gt;"",'8'!J$25,0)</f>
        <v>0</v>
      </c>
      <c r="J107" s="315">
        <f>IF('8'!K$25&lt;&gt;"",'8'!K$25,0)</f>
        <v>0</v>
      </c>
      <c r="K107" s="374">
        <f>IF('8'!L$25&lt;&gt;"",'8'!L$25,0)</f>
        <v>0</v>
      </c>
      <c r="L107" s="373"/>
      <c r="M107" s="315"/>
      <c r="N107" s="316"/>
    </row>
    <row r="108" spans="1:14" ht="18.649999999999999" customHeight="1" x14ac:dyDescent="0.45">
      <c r="A108" s="267">
        <v>9</v>
      </c>
      <c r="B108" s="1009" t="str">
        <f>'8'!B27</f>
        <v>Cuál es el alcance de la participación del proveedor de bienes y servicios en los eventos Kaizen</v>
      </c>
      <c r="C108" s="1009"/>
      <c r="D108" s="1009"/>
      <c r="E108" s="1009"/>
      <c r="F108" s="1009"/>
      <c r="G108" s="1009"/>
      <c r="H108" s="1010"/>
      <c r="I108" s="373">
        <f>IF('8'!J$27&lt;&gt;"",'8'!J$27,0)</f>
        <v>0</v>
      </c>
      <c r="J108" s="315">
        <f>IF('8'!K$27&lt;&gt;"",'8'!K$27,0)</f>
        <v>0</v>
      </c>
      <c r="K108" s="374">
        <f>IF('8'!L$27&lt;&gt;"",'8'!L$27,0)</f>
        <v>0</v>
      </c>
      <c r="L108" s="373"/>
      <c r="M108" s="315"/>
      <c r="N108" s="316"/>
    </row>
    <row r="109" spans="1:14" ht="18.649999999999999" customHeight="1" x14ac:dyDescent="0.45">
      <c r="A109" s="267">
        <v>10</v>
      </c>
      <c r="B109" s="1009" t="str">
        <f>'8'!B29</f>
        <v>Cómo selecciona los proveedores</v>
      </c>
      <c r="C109" s="1009"/>
      <c r="D109" s="1009"/>
      <c r="E109" s="1009"/>
      <c r="F109" s="1009"/>
      <c r="G109" s="1009"/>
      <c r="H109" s="1010"/>
      <c r="I109" s="373">
        <f>IF('8'!J$29&lt;&gt;"",'8'!J$29,0)</f>
        <v>0</v>
      </c>
      <c r="J109" s="315">
        <f>IF('8'!K$29&lt;&gt;"",'8'!K$29,0)</f>
        <v>0</v>
      </c>
      <c r="K109" s="374">
        <f>IF('8'!L$29&lt;&gt;"",'8'!L$29,0)</f>
        <v>0</v>
      </c>
      <c r="L109" s="373"/>
      <c r="M109" s="315"/>
      <c r="N109" s="316"/>
    </row>
    <row r="110" spans="1:14" ht="18.649999999999999" customHeight="1" x14ac:dyDescent="0.45">
      <c r="A110" s="267">
        <v>11</v>
      </c>
      <c r="B110" s="1009" t="str">
        <f>'8'!B31</f>
        <v>Nivel de Servicio.
 Pedido perfecto</v>
      </c>
      <c r="C110" s="1009"/>
      <c r="D110" s="1009"/>
      <c r="E110" s="1009"/>
      <c r="F110" s="1009"/>
      <c r="G110" s="1009"/>
      <c r="H110" s="1010"/>
      <c r="I110" s="373">
        <f>IF('8'!J$31&lt;&gt;"",'8'!J$31,0)</f>
        <v>0</v>
      </c>
      <c r="J110" s="315">
        <f>IF('8'!K$31&lt;&gt;"",'8'!K$231,0)</f>
        <v>0</v>
      </c>
      <c r="K110" s="374">
        <f>IF('8'!L$31&lt;&gt;"",'8'!L$31,0)</f>
        <v>0</v>
      </c>
      <c r="L110" s="373"/>
      <c r="M110" s="315"/>
      <c r="N110" s="316"/>
    </row>
    <row r="111" spans="1:14" ht="18.649999999999999" customHeight="1" x14ac:dyDescent="0.45">
      <c r="A111" s="270" t="s">
        <v>763</v>
      </c>
      <c r="B111" s="1056" t="s">
        <v>764</v>
      </c>
      <c r="C111" s="1056"/>
      <c r="D111" s="1056"/>
      <c r="E111" s="1056"/>
      <c r="F111" s="1056"/>
      <c r="G111" s="1056"/>
      <c r="H111" s="1031"/>
      <c r="I111" s="383"/>
      <c r="J111" s="318"/>
      <c r="K111" s="384"/>
      <c r="L111" s="385">
        <f>IFERROR(AVERAGEIF(I112:I118,"&lt;&gt;0",I112:I118),0)</f>
        <v>5</v>
      </c>
      <c r="M111" s="386">
        <f>IFERROR(AVERAGEIF(J112:J118,"&lt;&gt;0",J112:J118),0)</f>
        <v>5</v>
      </c>
      <c r="N111" s="319">
        <f>IFERROR(AVERAGEIF(K112:K118,"&lt;&gt;0",K112:K118),0)</f>
        <v>5</v>
      </c>
    </row>
    <row r="112" spans="1:14" ht="18.649999999999999" customHeight="1" x14ac:dyDescent="0.45">
      <c r="A112" s="267">
        <v>1</v>
      </c>
      <c r="B112" s="1009" t="str">
        <f>'9'!B3</f>
        <v>Costos gestión residuos y vertimientos</v>
      </c>
      <c r="C112" s="1009"/>
      <c r="D112" s="1009"/>
      <c r="E112" s="1009"/>
      <c r="F112" s="1009"/>
      <c r="G112" s="1009"/>
      <c r="H112" s="1010"/>
      <c r="I112" s="373">
        <f>IF('9'!J$3&lt;&gt;"",'9'!J$3,0)</f>
        <v>5</v>
      </c>
      <c r="J112" s="315">
        <f>IF('9'!K$3&lt;&gt;"",'9'!K$3,0)</f>
        <v>5</v>
      </c>
      <c r="K112" s="374">
        <f>IF('9'!L$3&lt;&gt;"",'9'!L$3,0)</f>
        <v>5</v>
      </c>
      <c r="L112" s="373"/>
      <c r="M112" s="315"/>
      <c r="N112" s="316"/>
    </row>
    <row r="113" spans="1:14" ht="18.649999999999999" customHeight="1" x14ac:dyDescent="0.45">
      <c r="A113" s="267">
        <v>2</v>
      </c>
      <c r="B113" s="1009" t="str">
        <f>'9'!B5</f>
        <v>Eficiencia de recursos</v>
      </c>
      <c r="C113" s="1009"/>
      <c r="D113" s="1009"/>
      <c r="E113" s="1009"/>
      <c r="F113" s="1009"/>
      <c r="G113" s="1009"/>
      <c r="H113" s="1010"/>
      <c r="I113" s="373">
        <f>IF('9'!J$5&lt;&gt;"",'9'!J$5,0)</f>
        <v>0</v>
      </c>
      <c r="J113" s="315">
        <f>IF('9'!K$5&lt;&gt;"",'9'!K$5,0)</f>
        <v>0</v>
      </c>
      <c r="K113" s="374">
        <f>IF('9'!L$5&lt;&gt;"",'9'!L$5,0)</f>
        <v>0</v>
      </c>
      <c r="L113" s="373"/>
      <c r="M113" s="315"/>
      <c r="N113" s="316"/>
    </row>
    <row r="114" spans="1:14" ht="18.649999999999999" customHeight="1" x14ac:dyDescent="0.45">
      <c r="A114" s="267">
        <v>3</v>
      </c>
      <c r="B114" s="1009" t="str">
        <f>'9'!B7</f>
        <v>Compromiso ambiental</v>
      </c>
      <c r="C114" s="1009"/>
      <c r="D114" s="1009"/>
      <c r="E114" s="1009"/>
      <c r="F114" s="1009"/>
      <c r="G114" s="1009"/>
      <c r="H114" s="1010"/>
      <c r="I114" s="373">
        <f>IF('9'!J$7&lt;&gt;"",'9'!J$7,0)</f>
        <v>0</v>
      </c>
      <c r="J114" s="315">
        <f>IF('9'!K$7&lt;&gt;"",'9'!K$7,0)</f>
        <v>0</v>
      </c>
      <c r="K114" s="374">
        <f>IF('9'!L$7&lt;&gt;"",'9'!L$7,0)</f>
        <v>0</v>
      </c>
      <c r="L114" s="373"/>
      <c r="M114" s="315"/>
      <c r="N114" s="316"/>
    </row>
    <row r="115" spans="1:14" ht="18.649999999999999" customHeight="1" x14ac:dyDescent="0.45">
      <c r="A115" s="317">
        <v>4</v>
      </c>
      <c r="B115" s="1009" t="str">
        <f>'9'!B9</f>
        <v>Movilización de recursos financieros</v>
      </c>
      <c r="C115" s="1009"/>
      <c r="D115" s="1009"/>
      <c r="E115" s="1009"/>
      <c r="F115" s="1009"/>
      <c r="G115" s="1009"/>
      <c r="H115" s="1010"/>
      <c r="I115" s="373">
        <f>IF('9'!J$9&lt;&gt;"",'9'!J$9,0)</f>
        <v>0</v>
      </c>
      <c r="J115" s="315">
        <f>IF('9'!K$9&lt;&gt;"",'9'!K$9,0)</f>
        <v>0</v>
      </c>
      <c r="K115" s="374">
        <f>IF('9'!L$9&lt;&gt;"",'9'!L$9,0)</f>
        <v>0</v>
      </c>
      <c r="L115" s="373"/>
      <c r="M115" s="315"/>
      <c r="N115" s="316"/>
    </row>
    <row r="116" spans="1:14" ht="18.649999999999999" customHeight="1" x14ac:dyDescent="0.45">
      <c r="A116" s="308">
        <v>5</v>
      </c>
      <c r="B116" s="1068" t="str">
        <f>'9'!B11</f>
        <v>Análisis de la cadena de valor</v>
      </c>
      <c r="C116" s="1068"/>
      <c r="D116" s="1068"/>
      <c r="E116" s="1068"/>
      <c r="F116" s="1068"/>
      <c r="G116" s="1068"/>
      <c r="H116" s="1069"/>
      <c r="I116" s="387">
        <f>IF('9'!J$11&lt;&gt;"",'9'!J$11,0)</f>
        <v>0</v>
      </c>
      <c r="J116" s="320">
        <f>IF('9'!K$11&lt;&gt;"",'9'!K$11,0)</f>
        <v>0</v>
      </c>
      <c r="K116" s="388">
        <f>IF('9'!L$11&lt;&gt;"",'9'!L$11,0)</f>
        <v>0</v>
      </c>
      <c r="L116" s="387"/>
      <c r="M116" s="320"/>
      <c r="N116" s="389"/>
    </row>
    <row r="117" spans="1:14" ht="18.649999999999999" customHeight="1" x14ac:dyDescent="0.45">
      <c r="A117" s="267">
        <v>6</v>
      </c>
      <c r="B117" s="1009" t="str">
        <f>'9'!B13</f>
        <v xml:space="preserve">Ecodiseño y ciclo de vida del producto
</v>
      </c>
      <c r="C117" s="1009"/>
      <c r="D117" s="1009"/>
      <c r="E117" s="1009"/>
      <c r="F117" s="1009"/>
      <c r="G117" s="1009"/>
      <c r="H117" s="1010"/>
      <c r="I117" s="373">
        <f>IF('9'!J$13&lt;&gt;"",'9'!J$13,0)</f>
        <v>0</v>
      </c>
      <c r="J117" s="315">
        <f>IF('9'!K$13&lt;&gt;"",'9'!K$13,0)</f>
        <v>0</v>
      </c>
      <c r="K117" s="374">
        <f>IF('9'!L$13&lt;&gt;"",'9'!L$13,0)</f>
        <v>0</v>
      </c>
      <c r="L117" s="373"/>
      <c r="M117" s="315"/>
      <c r="N117" s="316"/>
    </row>
    <row r="118" spans="1:14" ht="18.649999999999999" customHeight="1" x14ac:dyDescent="0.45">
      <c r="A118" s="288">
        <v>7</v>
      </c>
      <c r="B118" s="1059" t="str">
        <f>'9'!B15</f>
        <v>Monitoreo y seguimiento</v>
      </c>
      <c r="C118" s="1059"/>
      <c r="D118" s="1059"/>
      <c r="E118" s="1059"/>
      <c r="F118" s="1059"/>
      <c r="G118" s="1059"/>
      <c r="H118" s="1037"/>
      <c r="I118" s="390">
        <f>IF('9'!J$15&lt;&gt;"",'9'!J$15,0)</f>
        <v>0</v>
      </c>
      <c r="J118" s="321">
        <f>IF('9'!K$15&lt;&gt;"",'9'!K$15,0)</f>
        <v>0</v>
      </c>
      <c r="K118" s="391">
        <f>IF('9'!L$15&lt;&gt;"",'9'!L$15,0)</f>
        <v>0</v>
      </c>
      <c r="L118" s="390"/>
      <c r="M118" s="321"/>
      <c r="N118" s="392"/>
    </row>
    <row r="121" spans="1:14" ht="18.649999999999999" customHeight="1" x14ac:dyDescent="0.45">
      <c r="A121" s="323" t="s">
        <v>734</v>
      </c>
      <c r="B121" s="1060" t="s">
        <v>765</v>
      </c>
      <c r="C121" s="1061"/>
      <c r="D121" s="1061"/>
      <c r="E121" s="1061"/>
      <c r="F121" s="1061"/>
      <c r="G121" s="1061"/>
      <c r="H121" s="1062"/>
      <c r="I121" s="336">
        <v>2021</v>
      </c>
      <c r="J121" s="337">
        <v>2022</v>
      </c>
      <c r="K121" s="338">
        <v>2023</v>
      </c>
      <c r="L121" s="393" t="s">
        <v>766</v>
      </c>
    </row>
    <row r="122" spans="1:14" ht="18.649999999999999" customHeight="1" x14ac:dyDescent="0.45">
      <c r="A122" s="326">
        <v>1</v>
      </c>
      <c r="B122" s="1058" t="str">
        <f>B4</f>
        <v>Gestión comercial</v>
      </c>
      <c r="C122" s="1063"/>
      <c r="D122" s="1063"/>
      <c r="E122" s="1063"/>
      <c r="F122" s="1063"/>
      <c r="G122" s="1063"/>
      <c r="H122" s="1064"/>
      <c r="I122" s="394">
        <f>L4</f>
        <v>0</v>
      </c>
      <c r="J122" s="327">
        <f>M4</f>
        <v>0</v>
      </c>
      <c r="K122" s="395">
        <f>N4</f>
        <v>0</v>
      </c>
      <c r="L122" s="396">
        <v>5</v>
      </c>
    </row>
    <row r="123" spans="1:14" ht="18.649999999999999" customHeight="1" x14ac:dyDescent="0.45">
      <c r="A123" s="329">
        <v>2</v>
      </c>
      <c r="B123" s="1065" t="str">
        <f>B12</f>
        <v>Productividad operacional</v>
      </c>
      <c r="C123" s="1066"/>
      <c r="D123" s="1066"/>
      <c r="E123" s="1066"/>
      <c r="F123" s="1066"/>
      <c r="G123" s="1066"/>
      <c r="H123" s="1067"/>
      <c r="I123" s="397">
        <f>L12</f>
        <v>0</v>
      </c>
      <c r="J123" s="330">
        <f>M12</f>
        <v>0</v>
      </c>
      <c r="K123" s="398">
        <f>N12</f>
        <v>0</v>
      </c>
      <c r="L123" s="399">
        <v>5</v>
      </c>
    </row>
    <row r="124" spans="1:14" ht="18.649999999999999" customHeight="1" x14ac:dyDescent="0.45">
      <c r="A124" s="326">
        <v>3</v>
      </c>
      <c r="B124" s="1058" t="str">
        <f>B35</f>
        <v>Productividad laboral</v>
      </c>
      <c r="C124" s="1063"/>
      <c r="D124" s="1063"/>
      <c r="E124" s="1063"/>
      <c r="F124" s="1063"/>
      <c r="G124" s="1063"/>
      <c r="H124" s="1064"/>
      <c r="I124" s="394">
        <f>L35</f>
        <v>0</v>
      </c>
      <c r="J124" s="327">
        <f>M35</f>
        <v>0</v>
      </c>
      <c r="K124" s="395">
        <f>N35</f>
        <v>0</v>
      </c>
      <c r="L124" s="396">
        <v>5</v>
      </c>
    </row>
    <row r="125" spans="1:14" ht="18.649999999999999" customHeight="1" x14ac:dyDescent="0.45">
      <c r="A125" s="329">
        <v>4</v>
      </c>
      <c r="B125" s="1065" t="str">
        <f>B51</f>
        <v>Eficiencia energética</v>
      </c>
      <c r="C125" s="1066"/>
      <c r="D125" s="1066"/>
      <c r="E125" s="1066"/>
      <c r="F125" s="1066"/>
      <c r="G125" s="1066"/>
      <c r="H125" s="1067"/>
      <c r="I125" s="397">
        <f>L51</f>
        <v>5</v>
      </c>
      <c r="J125" s="330">
        <f>M51</f>
        <v>5</v>
      </c>
      <c r="K125" s="398">
        <f>N51</f>
        <v>5</v>
      </c>
      <c r="L125" s="399">
        <v>5</v>
      </c>
    </row>
    <row r="126" spans="1:14" ht="18.649999999999999" customHeight="1" x14ac:dyDescent="0.45">
      <c r="A126" s="326">
        <v>5</v>
      </c>
      <c r="B126" s="1058" t="str">
        <f>B64</f>
        <v>Gestión de la calidad</v>
      </c>
      <c r="C126" s="1063"/>
      <c r="D126" s="1063"/>
      <c r="E126" s="1063"/>
      <c r="F126" s="1063"/>
      <c r="G126" s="1063"/>
      <c r="H126" s="1064"/>
      <c r="I126" s="394">
        <f>L64</f>
        <v>5</v>
      </c>
      <c r="J126" s="327">
        <f>M64</f>
        <v>5</v>
      </c>
      <c r="K126" s="395">
        <f>N64</f>
        <v>5</v>
      </c>
      <c r="L126" s="396">
        <v>5</v>
      </c>
    </row>
    <row r="127" spans="1:14" ht="18.649999999999999" customHeight="1" x14ac:dyDescent="0.45">
      <c r="A127" s="329">
        <v>6</v>
      </c>
      <c r="B127" s="1065" t="str">
        <f>B71</f>
        <v>Desarrollo y sofisticación de producto</v>
      </c>
      <c r="C127" s="1066"/>
      <c r="D127" s="1066"/>
      <c r="E127" s="1066"/>
      <c r="F127" s="1066"/>
      <c r="G127" s="1066"/>
      <c r="H127" s="1067"/>
      <c r="I127" s="397">
        <f>L71</f>
        <v>4</v>
      </c>
      <c r="J127" s="330">
        <f>M71</f>
        <v>4</v>
      </c>
      <c r="K127" s="398">
        <f>N71</f>
        <v>4</v>
      </c>
      <c r="L127" s="399">
        <v>5</v>
      </c>
    </row>
    <row r="128" spans="1:14" ht="18.649999999999999" customHeight="1" x14ac:dyDescent="0.45">
      <c r="A128" s="326">
        <v>7</v>
      </c>
      <c r="B128" s="1058" t="str">
        <f>B84</f>
        <v>Transformación digital</v>
      </c>
      <c r="C128" s="1063"/>
      <c r="D128" s="1063"/>
      <c r="E128" s="1063"/>
      <c r="F128" s="1063"/>
      <c r="G128" s="1063"/>
      <c r="H128" s="1064"/>
      <c r="I128" s="394">
        <f>L84</f>
        <v>5</v>
      </c>
      <c r="J128" s="327">
        <f>M84</f>
        <v>5</v>
      </c>
      <c r="K128" s="395">
        <f>N84</f>
        <v>5</v>
      </c>
      <c r="L128" s="396">
        <v>5</v>
      </c>
    </row>
    <row r="129" spans="1:12" ht="18.649999999999999" customHeight="1" x14ac:dyDescent="0.45">
      <c r="A129" s="329">
        <v>8</v>
      </c>
      <c r="B129" s="1065" t="str">
        <f>B95</f>
        <v>Gestión logística</v>
      </c>
      <c r="C129" s="1066"/>
      <c r="D129" s="1066"/>
      <c r="E129" s="1066"/>
      <c r="F129" s="1066"/>
      <c r="G129" s="1066"/>
      <c r="H129" s="1067"/>
      <c r="I129" s="397">
        <f>L95</f>
        <v>5</v>
      </c>
      <c r="J129" s="330">
        <f>M95</f>
        <v>5</v>
      </c>
      <c r="K129" s="398">
        <f>N95</f>
        <v>5</v>
      </c>
      <c r="L129" s="399">
        <v>5</v>
      </c>
    </row>
    <row r="130" spans="1:12" ht="18.649999999999999" customHeight="1" x14ac:dyDescent="0.45">
      <c r="A130" s="332">
        <v>9</v>
      </c>
      <c r="B130" s="1073" t="str">
        <f>B111</f>
        <v>Sostenibilidad ambiental</v>
      </c>
      <c r="C130" s="1074"/>
      <c r="D130" s="1074"/>
      <c r="E130" s="1074"/>
      <c r="F130" s="1074"/>
      <c r="G130" s="1074"/>
      <c r="H130" s="1075"/>
      <c r="I130" s="400">
        <f>L111</f>
        <v>5</v>
      </c>
      <c r="J130" s="333">
        <f>M111</f>
        <v>5</v>
      </c>
      <c r="K130" s="401">
        <f>N111</f>
        <v>5</v>
      </c>
      <c r="L130" s="402">
        <v>5</v>
      </c>
    </row>
    <row r="165" spans="1:14" ht="18.649999999999999" customHeight="1" x14ac:dyDescent="0.35">
      <c r="B165" s="1063"/>
      <c r="C165" s="1063"/>
      <c r="D165" s="1063"/>
      <c r="E165" s="1063"/>
      <c r="F165" s="1063"/>
      <c r="G165" s="1063"/>
      <c r="H165" s="1063"/>
      <c r="I165" s="403"/>
      <c r="J165" s="403"/>
      <c r="K165" s="403"/>
      <c r="L165" s="403"/>
      <c r="M165" s="403"/>
      <c r="N165" s="403"/>
    </row>
    <row r="166" spans="1:14" ht="18.649999999999999" customHeight="1" x14ac:dyDescent="0.35">
      <c r="B166" s="1063"/>
      <c r="C166" s="1063"/>
      <c r="D166" s="1063"/>
      <c r="E166" s="1063"/>
      <c r="F166" s="1063"/>
      <c r="G166" s="1063"/>
      <c r="H166" s="1063"/>
      <c r="I166" s="403"/>
      <c r="J166" s="403"/>
      <c r="K166" s="403"/>
      <c r="L166" s="403"/>
      <c r="M166" s="403"/>
      <c r="N166" s="403"/>
    </row>
    <row r="167" spans="1:14" ht="18.649999999999999" customHeight="1" x14ac:dyDescent="0.35">
      <c r="A167" s="1015" t="s">
        <v>734</v>
      </c>
      <c r="B167" s="1019" t="s">
        <v>735</v>
      </c>
      <c r="C167" s="1020"/>
      <c r="D167" s="1020"/>
      <c r="E167" s="1020"/>
      <c r="F167" s="1020"/>
      <c r="G167" s="1020"/>
      <c r="H167" s="1072"/>
      <c r="I167" s="1070" t="s">
        <v>736</v>
      </c>
      <c r="J167" s="1020"/>
      <c r="K167" s="1020"/>
      <c r="L167" s="1071" t="s">
        <v>769</v>
      </c>
      <c r="M167" s="1020"/>
      <c r="N167" s="1072"/>
    </row>
    <row r="168" spans="1:14" ht="18.649999999999999" customHeight="1" x14ac:dyDescent="0.35">
      <c r="A168" s="1015"/>
      <c r="B168" s="1019"/>
      <c r="C168" s="1020"/>
      <c r="D168" s="1020"/>
      <c r="E168" s="1020"/>
      <c r="F168" s="1020"/>
      <c r="G168" s="1020"/>
      <c r="H168" s="1020"/>
      <c r="I168" s="336">
        <v>2021</v>
      </c>
      <c r="J168" s="337">
        <v>2022</v>
      </c>
      <c r="K168" s="338">
        <v>2023</v>
      </c>
      <c r="L168" s="339">
        <v>2021</v>
      </c>
      <c r="M168" s="340">
        <v>2022</v>
      </c>
      <c r="N168" s="341">
        <v>2023</v>
      </c>
    </row>
    <row r="169" spans="1:14" s="296" customFormat="1" ht="18.649999999999999" customHeight="1" x14ac:dyDescent="0.45"/>
    <row r="170" spans="1:14" s="296" customFormat="1" ht="18.649999999999999" customHeight="1" x14ac:dyDescent="0.45"/>
    <row r="171" spans="1:14" s="296" customFormat="1" ht="18.649999999999999" customHeight="1" x14ac:dyDescent="0.45"/>
    <row r="172" spans="1:14" s="296" customFormat="1" ht="18.649999999999999" customHeight="1" x14ac:dyDescent="0.45"/>
    <row r="173" spans="1:14" s="296" customFormat="1" ht="18.649999999999999" customHeight="1" x14ac:dyDescent="0.45"/>
    <row r="174" spans="1:14" s="296" customFormat="1" ht="18.649999999999999" customHeight="1" x14ac:dyDescent="0.45"/>
    <row r="175" spans="1:14" s="296" customFormat="1" ht="18.649999999999999" customHeight="1" x14ac:dyDescent="0.45"/>
    <row r="176" spans="1:14" s="296" customFormat="1" ht="18.649999999999999" customHeight="1" x14ac:dyDescent="0.45"/>
    <row r="177" spans="1:14" s="296" customFormat="1" ht="18.649999999999999" customHeight="1" x14ac:dyDescent="0.45"/>
    <row r="178" spans="1:14" s="296" customFormat="1" ht="18.649999999999999" customHeight="1" x14ac:dyDescent="0.45"/>
    <row r="179" spans="1:14" s="296" customFormat="1" ht="18.649999999999999" customHeight="1" x14ac:dyDescent="0.45"/>
    <row r="180" spans="1:14" s="296" customFormat="1" ht="18.649999999999999" customHeight="1" x14ac:dyDescent="0.45"/>
    <row r="181" spans="1:14" s="296" customFormat="1" ht="18.649999999999999" customHeight="1" x14ac:dyDescent="0.45"/>
    <row r="182" spans="1:14" s="296" customFormat="1" ht="18.649999999999999" customHeight="1" x14ac:dyDescent="0.45"/>
    <row r="183" spans="1:14" s="296" customFormat="1" ht="18.649999999999999" customHeight="1" x14ac:dyDescent="0.45"/>
    <row r="184" spans="1:14" s="296" customFormat="1" ht="18.649999999999999" customHeight="1" x14ac:dyDescent="0.45"/>
    <row r="185" spans="1:14" s="296" customFormat="1" ht="18.649999999999999" customHeight="1" x14ac:dyDescent="0.45"/>
    <row r="186" spans="1:14" s="296" customFormat="1" ht="18.649999999999999" customHeight="1" x14ac:dyDescent="0.45"/>
    <row r="187" spans="1:14" s="296" customFormat="1" ht="18.649999999999999" customHeight="1" x14ac:dyDescent="0.45"/>
    <row r="188" spans="1:14" s="296" customFormat="1" ht="18.649999999999999" customHeight="1" x14ac:dyDescent="0.45"/>
    <row r="189" spans="1:14" s="296" customFormat="1" ht="18.649999999999999" customHeight="1" x14ac:dyDescent="0.45"/>
    <row r="190" spans="1:14" s="296" customFormat="1" ht="18.649999999999999" customHeight="1" x14ac:dyDescent="0.45"/>
    <row r="191" spans="1:14" s="296" customFormat="1" ht="18.649999999999999" customHeight="1" x14ac:dyDescent="0.45"/>
    <row r="192" spans="1:14" s="296" customFormat="1" ht="18.649999999999999" customHeight="1" x14ac:dyDescent="0.45">
      <c r="A192" s="322"/>
      <c r="B192" s="1063"/>
      <c r="C192" s="1063"/>
      <c r="D192" s="1063"/>
      <c r="E192" s="1063"/>
      <c r="F192" s="1063"/>
      <c r="G192" s="1063"/>
      <c r="H192" s="1063"/>
      <c r="I192" s="396"/>
      <c r="J192" s="396"/>
      <c r="K192" s="396"/>
      <c r="L192" s="396"/>
      <c r="M192" s="396"/>
      <c r="N192" s="396"/>
    </row>
    <row r="193" spans="1:14" s="296" customFormat="1" ht="18.649999999999999" customHeight="1" x14ac:dyDescent="0.45">
      <c r="A193" s="322"/>
      <c r="B193" s="1063"/>
      <c r="C193" s="1063"/>
      <c r="D193" s="1063"/>
      <c r="E193" s="1063"/>
      <c r="F193" s="1063"/>
      <c r="G193" s="1063"/>
      <c r="H193" s="1063"/>
      <c r="I193" s="396"/>
      <c r="J193" s="396"/>
      <c r="K193" s="396"/>
      <c r="L193" s="396"/>
      <c r="M193" s="396"/>
      <c r="N193" s="396"/>
    </row>
    <row r="194" spans="1:14" s="296" customFormat="1" ht="18.649999999999999" customHeight="1" x14ac:dyDescent="0.45">
      <c r="A194" s="322"/>
      <c r="B194" s="1063"/>
      <c r="C194" s="1063"/>
      <c r="D194" s="1063"/>
      <c r="E194" s="1063"/>
      <c r="F194" s="1063"/>
      <c r="G194" s="1063"/>
      <c r="H194" s="1063"/>
      <c r="I194" s="396"/>
      <c r="J194" s="396"/>
      <c r="K194" s="396"/>
      <c r="L194" s="396"/>
      <c r="M194" s="396"/>
      <c r="N194" s="396"/>
    </row>
    <row r="195" spans="1:14" s="296" customFormat="1" ht="18.649999999999999" customHeight="1" x14ac:dyDescent="0.45">
      <c r="A195" s="322"/>
      <c r="B195" s="1063"/>
      <c r="C195" s="1063"/>
      <c r="D195" s="1063"/>
      <c r="E195" s="1063"/>
      <c r="F195" s="1063"/>
      <c r="G195" s="1063"/>
      <c r="H195" s="1063"/>
      <c r="I195" s="396"/>
      <c r="J195" s="396"/>
      <c r="K195" s="396"/>
      <c r="L195" s="396"/>
      <c r="M195" s="396"/>
      <c r="N195" s="396"/>
    </row>
    <row r="196" spans="1:14" s="296" customFormat="1" ht="18.649999999999999" customHeight="1" x14ac:dyDescent="0.45">
      <c r="A196" s="322"/>
      <c r="B196" s="1063"/>
      <c r="C196" s="1063"/>
      <c r="D196" s="1063"/>
      <c r="E196" s="1063"/>
      <c r="F196" s="1063"/>
      <c r="G196" s="1063"/>
      <c r="H196" s="1063"/>
      <c r="I196" s="396"/>
      <c r="J196" s="396"/>
      <c r="K196" s="396"/>
      <c r="L196" s="396"/>
      <c r="M196" s="396"/>
      <c r="N196" s="396"/>
    </row>
    <row r="197" spans="1:14" s="296" customFormat="1" ht="18.649999999999999" customHeight="1" x14ac:dyDescent="0.45">
      <c r="A197" s="322"/>
      <c r="B197" s="1063"/>
      <c r="C197" s="1063"/>
      <c r="D197" s="1063"/>
      <c r="E197" s="1063"/>
      <c r="F197" s="1063"/>
      <c r="G197" s="1063"/>
      <c r="H197" s="1063"/>
      <c r="I197" s="396"/>
      <c r="J197" s="396"/>
      <c r="K197" s="396"/>
      <c r="L197" s="396"/>
      <c r="M197" s="396"/>
      <c r="N197" s="396"/>
    </row>
    <row r="198" spans="1:14" s="296" customFormat="1" ht="18.649999999999999" customHeight="1" x14ac:dyDescent="0.45">
      <c r="A198" s="322"/>
      <c r="B198" s="1063"/>
      <c r="C198" s="1063"/>
      <c r="D198" s="1063"/>
      <c r="E198" s="1063"/>
      <c r="F198" s="1063"/>
      <c r="G198" s="1063"/>
      <c r="H198" s="1063"/>
      <c r="I198" s="396"/>
      <c r="J198" s="396"/>
      <c r="K198" s="396"/>
      <c r="L198" s="396"/>
      <c r="M198" s="396"/>
      <c r="N198" s="396"/>
    </row>
    <row r="199" spans="1:14" s="296" customFormat="1" ht="18.649999999999999" customHeight="1" x14ac:dyDescent="0.45">
      <c r="A199" s="322"/>
      <c r="B199" s="1063"/>
      <c r="C199" s="1063"/>
      <c r="D199" s="1063"/>
      <c r="E199" s="1063"/>
      <c r="F199" s="1063"/>
      <c r="G199" s="1063"/>
      <c r="H199" s="1063"/>
      <c r="I199" s="396"/>
      <c r="J199" s="396"/>
      <c r="K199" s="396"/>
      <c r="L199" s="396"/>
      <c r="M199" s="396"/>
      <c r="N199" s="396"/>
    </row>
    <row r="200" spans="1:14" s="296" customFormat="1" ht="18.649999999999999" customHeight="1" x14ac:dyDescent="0.45">
      <c r="A200" s="322"/>
      <c r="B200" s="1063"/>
      <c r="C200" s="1063"/>
      <c r="D200" s="1063"/>
      <c r="E200" s="1063"/>
      <c r="F200" s="1063"/>
      <c r="G200" s="1063"/>
      <c r="H200" s="1063"/>
      <c r="I200" s="396"/>
      <c r="J200" s="396"/>
      <c r="K200" s="396"/>
      <c r="L200" s="396"/>
      <c r="M200" s="396"/>
      <c r="N200" s="396"/>
    </row>
    <row r="201" spans="1:14" s="296" customFormat="1" ht="18.649999999999999" customHeight="1" x14ac:dyDescent="0.45">
      <c r="A201" s="322"/>
      <c r="B201" s="1063"/>
      <c r="C201" s="1063"/>
      <c r="D201" s="1063"/>
      <c r="E201" s="1063"/>
      <c r="F201" s="1063"/>
      <c r="G201" s="1063"/>
      <c r="H201" s="1063"/>
      <c r="I201" s="396"/>
      <c r="J201" s="396"/>
      <c r="K201" s="396"/>
      <c r="L201" s="396"/>
      <c r="M201" s="396"/>
      <c r="N201" s="396"/>
    </row>
    <row r="202" spans="1:14" s="296" customFormat="1" ht="18.649999999999999" customHeight="1" x14ac:dyDescent="0.45">
      <c r="A202" s="322"/>
      <c r="B202" s="1063"/>
      <c r="C202" s="1063"/>
      <c r="D202" s="1063"/>
      <c r="E202" s="1063"/>
      <c r="F202" s="1063"/>
      <c r="G202" s="1063"/>
      <c r="H202" s="1063"/>
      <c r="I202" s="396"/>
      <c r="J202" s="396"/>
      <c r="K202" s="396"/>
      <c r="L202" s="396"/>
      <c r="M202" s="396"/>
      <c r="N202" s="396"/>
    </row>
    <row r="203" spans="1:14" s="296" customFormat="1" ht="18.649999999999999" customHeight="1" x14ac:dyDescent="0.45">
      <c r="A203" s="322"/>
      <c r="B203" s="1063"/>
      <c r="C203" s="1063"/>
      <c r="D203" s="1063"/>
      <c r="E203" s="1063"/>
      <c r="F203" s="1063"/>
      <c r="G203" s="1063"/>
      <c r="H203" s="1063"/>
      <c r="I203" s="396"/>
      <c r="J203" s="396"/>
      <c r="K203" s="396"/>
      <c r="L203" s="396"/>
      <c r="M203" s="396"/>
      <c r="N203" s="396"/>
    </row>
    <row r="204" spans="1:14" s="296" customFormat="1" ht="18.649999999999999" customHeight="1" x14ac:dyDescent="0.45">
      <c r="A204" s="322"/>
      <c r="B204" s="1063"/>
      <c r="C204" s="1063"/>
      <c r="D204" s="1063"/>
      <c r="E204" s="1063"/>
      <c r="F204" s="1063"/>
      <c r="G204" s="1063"/>
      <c r="H204" s="1063"/>
      <c r="I204" s="396"/>
      <c r="J204" s="396"/>
      <c r="K204" s="396"/>
      <c r="L204" s="396"/>
      <c r="M204" s="396"/>
      <c r="N204" s="396"/>
    </row>
    <row r="205" spans="1:14" s="296" customFormat="1" ht="18.649999999999999" customHeight="1" x14ac:dyDescent="0.45">
      <c r="A205" s="322"/>
      <c r="B205" s="1063"/>
      <c r="C205" s="1063"/>
      <c r="D205" s="1063"/>
      <c r="E205" s="1063"/>
      <c r="F205" s="1063"/>
      <c r="G205" s="1063"/>
      <c r="H205" s="1063"/>
      <c r="I205" s="396"/>
      <c r="J205" s="396"/>
      <c r="K205" s="396"/>
      <c r="L205" s="396"/>
      <c r="M205" s="396"/>
      <c r="N205" s="396"/>
    </row>
    <row r="206" spans="1:14" s="296" customFormat="1" ht="18.649999999999999" customHeight="1" x14ac:dyDescent="0.45">
      <c r="A206" s="322"/>
      <c r="B206" s="1063"/>
      <c r="C206" s="1063"/>
      <c r="D206" s="1063"/>
      <c r="E206" s="1063"/>
      <c r="F206" s="1063"/>
      <c r="G206" s="1063"/>
      <c r="H206" s="1063"/>
      <c r="I206" s="396"/>
      <c r="J206" s="396"/>
      <c r="K206" s="396"/>
      <c r="L206" s="396"/>
      <c r="M206" s="396"/>
      <c r="N206" s="396"/>
    </row>
    <row r="207" spans="1:14" s="296" customFormat="1" ht="18.649999999999999" customHeight="1" x14ac:dyDescent="0.45">
      <c r="A207" s="322"/>
      <c r="B207" s="1063"/>
      <c r="C207" s="1063"/>
      <c r="D207" s="1063"/>
      <c r="E207" s="1063"/>
      <c r="F207" s="1063"/>
      <c r="G207" s="1063"/>
      <c r="H207" s="1063"/>
      <c r="I207" s="396"/>
      <c r="J207" s="396"/>
      <c r="K207" s="396"/>
      <c r="L207" s="396"/>
      <c r="M207" s="396"/>
      <c r="N207" s="396"/>
    </row>
    <row r="208" spans="1:14" s="296" customFormat="1" ht="18.649999999999999" customHeight="1" x14ac:dyDescent="0.45">
      <c r="A208" s="322"/>
      <c r="B208" s="1063"/>
      <c r="C208" s="1063"/>
      <c r="D208" s="1063"/>
      <c r="E208" s="1063"/>
      <c r="F208" s="1063"/>
      <c r="G208" s="1063"/>
      <c r="H208" s="1063"/>
      <c r="I208" s="396"/>
      <c r="J208" s="396"/>
      <c r="K208" s="396"/>
      <c r="L208" s="396"/>
      <c r="M208" s="396"/>
      <c r="N208" s="396"/>
    </row>
    <row r="209" spans="1:14" s="296" customFormat="1" ht="18.649999999999999" customHeight="1" x14ac:dyDescent="0.45">
      <c r="A209" s="322"/>
      <c r="B209" s="1063"/>
      <c r="C209" s="1063"/>
      <c r="D209" s="1063"/>
      <c r="E209" s="1063"/>
      <c r="F209" s="1063"/>
      <c r="G209" s="1063"/>
      <c r="H209" s="1063"/>
      <c r="I209" s="396"/>
      <c r="J209" s="396"/>
      <c r="K209" s="396"/>
      <c r="L209" s="396"/>
      <c r="M209" s="396"/>
      <c r="N209" s="396"/>
    </row>
    <row r="210" spans="1:14" s="296" customFormat="1" ht="18.649999999999999" customHeight="1" x14ac:dyDescent="0.45">
      <c r="A210" s="322"/>
      <c r="B210" s="1063"/>
      <c r="C210" s="1063"/>
      <c r="D210" s="1063"/>
      <c r="E210" s="1063"/>
      <c r="F210" s="1063"/>
      <c r="G210" s="1063"/>
      <c r="H210" s="1063"/>
      <c r="I210" s="396"/>
      <c r="J210" s="396"/>
      <c r="K210" s="396"/>
      <c r="L210" s="396"/>
      <c r="M210" s="396"/>
      <c r="N210" s="396"/>
    </row>
    <row r="211" spans="1:14" s="296" customFormat="1" ht="18.649999999999999" customHeight="1" x14ac:dyDescent="0.45">
      <c r="A211" s="322"/>
      <c r="B211" s="1063"/>
      <c r="C211" s="1063"/>
      <c r="D211" s="1063"/>
      <c r="E211" s="1063"/>
      <c r="F211" s="1063"/>
      <c r="G211" s="1063"/>
      <c r="H211" s="1063"/>
      <c r="I211" s="396"/>
      <c r="J211" s="396"/>
      <c r="K211" s="396"/>
      <c r="L211" s="396"/>
      <c r="M211" s="396"/>
      <c r="N211" s="396"/>
    </row>
    <row r="212" spans="1:14" s="296" customFormat="1" ht="18.649999999999999" customHeight="1" x14ac:dyDescent="0.45">
      <c r="A212" s="322"/>
      <c r="B212" s="1063"/>
      <c r="C212" s="1063"/>
      <c r="D212" s="1063"/>
      <c r="E212" s="1063"/>
      <c r="F212" s="1063"/>
      <c r="G212" s="1063"/>
      <c r="H212" s="1063"/>
      <c r="I212" s="396"/>
      <c r="J212" s="396"/>
      <c r="K212" s="396"/>
      <c r="L212" s="396"/>
      <c r="M212" s="396"/>
      <c r="N212" s="396"/>
    </row>
    <row r="213" spans="1:14" s="296" customFormat="1" ht="18.649999999999999" customHeight="1" x14ac:dyDescent="0.45">
      <c r="A213" s="322"/>
      <c r="B213" s="1063"/>
      <c r="C213" s="1063"/>
      <c r="D213" s="1063"/>
      <c r="E213" s="1063"/>
      <c r="F213" s="1063"/>
      <c r="G213" s="1063"/>
      <c r="H213" s="1063"/>
      <c r="I213" s="396"/>
      <c r="J213" s="396"/>
      <c r="K213" s="396"/>
      <c r="L213" s="396"/>
      <c r="M213" s="396"/>
      <c r="N213" s="396"/>
    </row>
    <row r="214" spans="1:14" s="296" customFormat="1" ht="18.649999999999999" customHeight="1" x14ac:dyDescent="0.45">
      <c r="A214" s="322"/>
      <c r="B214" s="1063"/>
      <c r="C214" s="1063"/>
      <c r="D214" s="1063"/>
      <c r="E214" s="1063"/>
      <c r="F214" s="1063"/>
      <c r="G214" s="1063"/>
      <c r="H214" s="1063"/>
      <c r="I214" s="396"/>
      <c r="J214" s="396"/>
      <c r="K214" s="396"/>
      <c r="L214" s="396"/>
      <c r="M214" s="396"/>
      <c r="N214" s="396"/>
    </row>
    <row r="215" spans="1:14" s="296" customFormat="1" ht="18.649999999999999" customHeight="1" x14ac:dyDescent="0.45">
      <c r="A215" s="322"/>
      <c r="B215" s="1063"/>
      <c r="C215" s="1063"/>
      <c r="D215" s="1063"/>
      <c r="E215" s="1063"/>
      <c r="F215" s="1063"/>
      <c r="G215" s="1063"/>
      <c r="H215" s="1063"/>
      <c r="I215" s="396"/>
      <c r="J215" s="396"/>
      <c r="K215" s="396"/>
      <c r="L215" s="396"/>
      <c r="M215" s="396"/>
      <c r="N215" s="396"/>
    </row>
    <row r="216" spans="1:14" s="296" customFormat="1" ht="18.649999999999999" customHeight="1" x14ac:dyDescent="0.45">
      <c r="A216" s="322"/>
      <c r="B216" s="1063"/>
      <c r="C216" s="1063"/>
      <c r="D216" s="1063"/>
      <c r="E216" s="1063"/>
      <c r="F216" s="1063"/>
      <c r="G216" s="1063"/>
      <c r="H216" s="1063"/>
      <c r="I216" s="396"/>
      <c r="J216" s="396"/>
      <c r="K216" s="396"/>
      <c r="L216" s="396"/>
      <c r="M216" s="396"/>
      <c r="N216" s="396"/>
    </row>
    <row r="217" spans="1:14" s="296" customFormat="1" ht="18.649999999999999" customHeight="1" x14ac:dyDescent="0.45">
      <c r="A217" s="322"/>
      <c r="B217" s="1063"/>
      <c r="C217" s="1063"/>
      <c r="D217" s="1063"/>
      <c r="E217" s="1063"/>
      <c r="F217" s="1063"/>
      <c r="G217" s="1063"/>
      <c r="H217" s="1063"/>
      <c r="I217" s="396"/>
      <c r="J217" s="396"/>
      <c r="K217" s="396"/>
      <c r="L217" s="396"/>
      <c r="M217" s="396"/>
      <c r="N217" s="396"/>
    </row>
    <row r="218" spans="1:14" s="296" customFormat="1" ht="18.649999999999999" customHeight="1" x14ac:dyDescent="0.45">
      <c r="A218" s="322"/>
      <c r="B218" s="1063"/>
      <c r="C218" s="1063"/>
      <c r="D218" s="1063"/>
      <c r="E218" s="1063"/>
      <c r="F218" s="1063"/>
      <c r="G218" s="1063"/>
      <c r="H218" s="1063"/>
      <c r="I218" s="396"/>
      <c r="J218" s="396"/>
      <c r="K218" s="396"/>
      <c r="L218" s="396"/>
      <c r="M218" s="396"/>
      <c r="N218" s="396"/>
    </row>
    <row r="219" spans="1:14" s="296" customFormat="1" ht="18.649999999999999" customHeight="1" x14ac:dyDescent="0.45">
      <c r="A219" s="322"/>
      <c r="B219" s="1063"/>
      <c r="C219" s="1063"/>
      <c r="D219" s="1063"/>
      <c r="E219" s="1063"/>
      <c r="F219" s="1063"/>
      <c r="G219" s="1063"/>
      <c r="H219" s="1063"/>
      <c r="I219" s="396"/>
      <c r="J219" s="396"/>
      <c r="K219" s="396"/>
      <c r="L219" s="396"/>
      <c r="M219" s="396"/>
      <c r="N219" s="396"/>
    </row>
    <row r="220" spans="1:14" s="296" customFormat="1" ht="18.649999999999999" customHeight="1" x14ac:dyDescent="0.45">
      <c r="A220" s="322"/>
      <c r="B220" s="1063"/>
      <c r="C220" s="1063"/>
      <c r="D220" s="1063"/>
      <c r="E220" s="1063"/>
      <c r="F220" s="1063"/>
      <c r="G220" s="1063"/>
      <c r="H220" s="1063"/>
      <c r="I220" s="396"/>
      <c r="J220" s="396"/>
      <c r="K220" s="396"/>
      <c r="L220" s="396"/>
      <c r="M220" s="396"/>
      <c r="N220" s="396"/>
    </row>
    <row r="221" spans="1:14" s="296" customFormat="1" ht="18.649999999999999" customHeight="1" x14ac:dyDescent="0.45">
      <c r="A221" s="322"/>
      <c r="B221" s="1063"/>
      <c r="C221" s="1063"/>
      <c r="D221" s="1063"/>
      <c r="E221" s="1063"/>
      <c r="F221" s="1063"/>
      <c r="G221" s="1063"/>
      <c r="H221" s="1063"/>
      <c r="I221" s="396"/>
      <c r="J221" s="396"/>
      <c r="K221" s="396"/>
      <c r="L221" s="396"/>
      <c r="M221" s="396"/>
      <c r="N221" s="396"/>
    </row>
    <row r="222" spans="1:14" s="296" customFormat="1" ht="18.649999999999999" customHeight="1" x14ac:dyDescent="0.45">
      <c r="A222" s="322"/>
      <c r="B222" s="1063"/>
      <c r="C222" s="1063"/>
      <c r="D222" s="1063"/>
      <c r="E222" s="1063"/>
      <c r="F222" s="1063"/>
      <c r="G222" s="1063"/>
      <c r="H222" s="1063"/>
      <c r="I222" s="396"/>
      <c r="J222" s="396"/>
      <c r="K222" s="396"/>
      <c r="L222" s="396"/>
      <c r="M222" s="396"/>
      <c r="N222" s="396"/>
    </row>
    <row r="223" spans="1:14" s="296" customFormat="1" ht="18.649999999999999" customHeight="1" x14ac:dyDescent="0.45">
      <c r="A223" s="322"/>
      <c r="B223" s="1063"/>
      <c r="C223" s="1063"/>
      <c r="D223" s="1063"/>
      <c r="E223" s="1063"/>
      <c r="F223" s="1063"/>
      <c r="G223" s="1063"/>
      <c r="H223" s="1063"/>
      <c r="I223" s="396"/>
      <c r="J223" s="396"/>
      <c r="K223" s="396"/>
      <c r="L223" s="396"/>
      <c r="M223" s="396"/>
      <c r="N223" s="396"/>
    </row>
    <row r="224" spans="1:14" s="296" customFormat="1" ht="18.649999999999999" customHeight="1" x14ac:dyDescent="0.45">
      <c r="A224" s="322"/>
    </row>
    <row r="225" spans="1:1" s="296" customFormat="1" ht="18.649999999999999" customHeight="1" x14ac:dyDescent="0.45">
      <c r="A225" s="322"/>
    </row>
    <row r="226" spans="1:1" s="296" customFormat="1" ht="18.649999999999999" customHeight="1" x14ac:dyDescent="0.45">
      <c r="A226" s="322"/>
    </row>
    <row r="227" spans="1:1" s="296" customFormat="1" ht="18.649999999999999" customHeight="1" x14ac:dyDescent="0.45">
      <c r="A227" s="322"/>
    </row>
    <row r="228" spans="1:1" s="296" customFormat="1" ht="18.649999999999999" customHeight="1" x14ac:dyDescent="0.45">
      <c r="A228" s="322"/>
    </row>
    <row r="229" spans="1:1" s="296" customFormat="1" ht="18.649999999999999" customHeight="1" x14ac:dyDescent="0.45">
      <c r="A229" s="322"/>
    </row>
    <row r="230" spans="1:1" s="296" customFormat="1" ht="18.649999999999999" customHeight="1" x14ac:dyDescent="0.45">
      <c r="A230" s="322"/>
    </row>
    <row r="231" spans="1:1" s="296" customFormat="1" ht="18.649999999999999" customHeight="1" x14ac:dyDescent="0.45">
      <c r="A231" s="322"/>
    </row>
    <row r="232" spans="1:1" s="296" customFormat="1" ht="18.649999999999999" customHeight="1" x14ac:dyDescent="0.45">
      <c r="A232" s="322"/>
    </row>
    <row r="233" spans="1:1" s="296" customFormat="1" ht="18.649999999999999" customHeight="1" x14ac:dyDescent="0.45">
      <c r="A233" s="322"/>
    </row>
    <row r="234" spans="1:1" s="296" customFormat="1" ht="18.649999999999999" customHeight="1" x14ac:dyDescent="0.45">
      <c r="A234" s="322"/>
    </row>
    <row r="235" spans="1:1" s="296" customFormat="1" ht="18.649999999999999" customHeight="1" x14ac:dyDescent="0.45">
      <c r="A235" s="322"/>
    </row>
    <row r="236" spans="1:1" s="296" customFormat="1" ht="18.649999999999999" customHeight="1" x14ac:dyDescent="0.45">
      <c r="A236" s="322"/>
    </row>
    <row r="237" spans="1:1" s="296" customFormat="1" ht="18.649999999999999" customHeight="1" x14ac:dyDescent="0.45">
      <c r="A237" s="322"/>
    </row>
    <row r="238" spans="1:1" s="296" customFormat="1" ht="18.649999999999999" customHeight="1" x14ac:dyDescent="0.45">
      <c r="A238" s="322"/>
    </row>
    <row r="239" spans="1:1" s="296" customFormat="1" ht="18.649999999999999" customHeight="1" x14ac:dyDescent="0.45">
      <c r="A239" s="322"/>
    </row>
    <row r="240" spans="1:1" s="296" customFormat="1" ht="18.649999999999999" customHeight="1" x14ac:dyDescent="0.45">
      <c r="A240" s="322"/>
    </row>
    <row r="241" spans="1:1" s="296" customFormat="1" ht="18.649999999999999" customHeight="1" x14ac:dyDescent="0.45">
      <c r="A241" s="322"/>
    </row>
    <row r="242" spans="1:1" s="296" customFormat="1" ht="18.649999999999999" customHeight="1" x14ac:dyDescent="0.45">
      <c r="A242" s="322"/>
    </row>
    <row r="243" spans="1:1" s="296" customFormat="1" ht="18.649999999999999" customHeight="1" x14ac:dyDescent="0.45">
      <c r="A243" s="322"/>
    </row>
    <row r="244" spans="1:1" s="296" customFormat="1" ht="18.649999999999999" customHeight="1" x14ac:dyDescent="0.45">
      <c r="A244" s="322"/>
    </row>
    <row r="245" spans="1:1" s="296" customFormat="1" ht="18.649999999999999" customHeight="1" x14ac:dyDescent="0.45">
      <c r="A245" s="322"/>
    </row>
    <row r="246" spans="1:1" s="296" customFormat="1" ht="18.649999999999999" customHeight="1" x14ac:dyDescent="0.45">
      <c r="A246" s="322"/>
    </row>
    <row r="247" spans="1:1" s="296" customFormat="1" ht="18.649999999999999" customHeight="1" x14ac:dyDescent="0.45">
      <c r="A247" s="322"/>
    </row>
    <row r="248" spans="1:1" s="296" customFormat="1" ht="18.649999999999999" customHeight="1" x14ac:dyDescent="0.45">
      <c r="A248" s="322"/>
    </row>
    <row r="249" spans="1:1" s="296" customFormat="1" ht="18.649999999999999" customHeight="1" x14ac:dyDescent="0.45">
      <c r="A249" s="322"/>
    </row>
    <row r="250" spans="1:1" s="296" customFormat="1" ht="18.649999999999999" customHeight="1" x14ac:dyDescent="0.45">
      <c r="A250" s="322"/>
    </row>
    <row r="251" spans="1:1" s="296" customFormat="1" ht="18.649999999999999" customHeight="1" x14ac:dyDescent="0.45">
      <c r="A251" s="322"/>
    </row>
    <row r="252" spans="1:1" s="296" customFormat="1" ht="18.649999999999999" customHeight="1" x14ac:dyDescent="0.45">
      <c r="A252" s="322"/>
    </row>
    <row r="253" spans="1:1" s="296" customFormat="1" ht="18.649999999999999" customHeight="1" x14ac:dyDescent="0.45">
      <c r="A253" s="322"/>
    </row>
    <row r="254" spans="1:1" s="296" customFormat="1" ht="18.649999999999999" customHeight="1" x14ac:dyDescent="0.45">
      <c r="A254" s="322"/>
    </row>
    <row r="255" spans="1:1" s="296" customFormat="1" ht="18.649999999999999" customHeight="1" x14ac:dyDescent="0.45">
      <c r="A255" s="322"/>
    </row>
    <row r="256" spans="1:1" s="296" customFormat="1" ht="18.649999999999999" customHeight="1" x14ac:dyDescent="0.45">
      <c r="A256" s="322"/>
    </row>
    <row r="257" spans="1:1" s="296" customFormat="1" ht="18.649999999999999" customHeight="1" x14ac:dyDescent="0.45">
      <c r="A257" s="322"/>
    </row>
    <row r="258" spans="1:1" s="296" customFormat="1" ht="18.649999999999999" customHeight="1" x14ac:dyDescent="0.45">
      <c r="A258" s="322"/>
    </row>
    <row r="259" spans="1:1" s="296" customFormat="1" ht="18.649999999999999" customHeight="1" x14ac:dyDescent="0.45">
      <c r="A259" s="322"/>
    </row>
    <row r="260" spans="1:1" s="296" customFormat="1" ht="18.649999999999999" customHeight="1" x14ac:dyDescent="0.45">
      <c r="A260" s="322"/>
    </row>
    <row r="261" spans="1:1" s="296" customFormat="1" ht="18.649999999999999" customHeight="1" x14ac:dyDescent="0.45">
      <c r="A261" s="322"/>
    </row>
    <row r="262" spans="1:1" s="296" customFormat="1" ht="18.649999999999999" customHeight="1" x14ac:dyDescent="0.45">
      <c r="A262" s="322"/>
    </row>
    <row r="263" spans="1:1" s="296" customFormat="1" ht="18.649999999999999" customHeight="1" x14ac:dyDescent="0.45">
      <c r="A263" s="322"/>
    </row>
    <row r="264" spans="1:1" s="296" customFormat="1" ht="18.649999999999999" customHeight="1" x14ac:dyDescent="0.45">
      <c r="A264" s="322"/>
    </row>
    <row r="265" spans="1:1" s="296" customFormat="1" ht="18.649999999999999" customHeight="1" x14ac:dyDescent="0.45">
      <c r="A265" s="322"/>
    </row>
    <row r="266" spans="1:1" s="296" customFormat="1" ht="18.649999999999999" customHeight="1" x14ac:dyDescent="0.45">
      <c r="A266" s="322"/>
    </row>
    <row r="267" spans="1:1" s="296" customFormat="1" ht="18.649999999999999" customHeight="1" x14ac:dyDescent="0.45">
      <c r="A267" s="322"/>
    </row>
    <row r="268" spans="1:1" s="296" customFormat="1" ht="18.649999999999999" customHeight="1" x14ac:dyDescent="0.45">
      <c r="A268" s="322"/>
    </row>
    <row r="269" spans="1:1" s="296" customFormat="1" ht="18.649999999999999" customHeight="1" x14ac:dyDescent="0.45">
      <c r="A269" s="322"/>
    </row>
    <row r="270" spans="1:1" s="296" customFormat="1" ht="18.649999999999999" customHeight="1" x14ac:dyDescent="0.45">
      <c r="A270" s="322"/>
    </row>
    <row r="271" spans="1:1" s="296" customFormat="1" ht="18.649999999999999" customHeight="1" x14ac:dyDescent="0.45">
      <c r="A271" s="322"/>
    </row>
    <row r="272" spans="1:1" s="296" customFormat="1" ht="18.649999999999999" customHeight="1" x14ac:dyDescent="0.45">
      <c r="A272" s="322"/>
    </row>
    <row r="273" spans="1:1" s="296" customFormat="1" ht="18.649999999999999" customHeight="1" x14ac:dyDescent="0.45">
      <c r="A273" s="322"/>
    </row>
    <row r="274" spans="1:1" s="296" customFormat="1" ht="18.649999999999999" customHeight="1" x14ac:dyDescent="0.45">
      <c r="A274" s="322"/>
    </row>
    <row r="275" spans="1:1" s="296" customFormat="1" ht="18.649999999999999" customHeight="1" x14ac:dyDescent="0.45">
      <c r="A275" s="322"/>
    </row>
    <row r="276" spans="1:1" s="296" customFormat="1" ht="18.649999999999999" customHeight="1" x14ac:dyDescent="0.45">
      <c r="A276" s="322"/>
    </row>
    <row r="277" spans="1:1" s="296" customFormat="1" ht="18.649999999999999" customHeight="1" x14ac:dyDescent="0.45">
      <c r="A277" s="322"/>
    </row>
    <row r="278" spans="1:1" s="296" customFormat="1" ht="18.649999999999999" customHeight="1" x14ac:dyDescent="0.45">
      <c r="A278" s="322"/>
    </row>
    <row r="279" spans="1:1" s="296" customFormat="1" ht="18.649999999999999" customHeight="1" x14ac:dyDescent="0.45">
      <c r="A279" s="322"/>
    </row>
    <row r="280" spans="1:1" s="296" customFormat="1" ht="18.649999999999999" customHeight="1" x14ac:dyDescent="0.45">
      <c r="A280" s="322"/>
    </row>
    <row r="281" spans="1:1" s="296" customFormat="1" ht="18.649999999999999" customHeight="1" x14ac:dyDescent="0.45">
      <c r="A281" s="322"/>
    </row>
    <row r="282" spans="1:1" s="296" customFormat="1" ht="18.649999999999999" customHeight="1" x14ac:dyDescent="0.45">
      <c r="A282" s="322"/>
    </row>
    <row r="283" spans="1:1" s="296" customFormat="1" ht="18.649999999999999" customHeight="1" x14ac:dyDescent="0.45">
      <c r="A283" s="322"/>
    </row>
    <row r="284" spans="1:1" s="296" customFormat="1" ht="18.649999999999999" customHeight="1" x14ac:dyDescent="0.45">
      <c r="A284" s="322"/>
    </row>
    <row r="285" spans="1:1" s="296" customFormat="1" ht="18.649999999999999" customHeight="1" x14ac:dyDescent="0.45">
      <c r="A285" s="322"/>
    </row>
    <row r="286" spans="1:1" s="296" customFormat="1" ht="18.649999999999999" customHeight="1" x14ac:dyDescent="0.45">
      <c r="A286" s="322"/>
    </row>
    <row r="287" spans="1:1" s="296" customFormat="1" ht="18.649999999999999" customHeight="1" x14ac:dyDescent="0.45">
      <c r="A287" s="322"/>
    </row>
    <row r="288" spans="1:1" s="296" customFormat="1" ht="18.649999999999999" customHeight="1" x14ac:dyDescent="0.45">
      <c r="A288" s="322"/>
    </row>
    <row r="289" spans="1:1" s="296" customFormat="1" ht="18.649999999999999" customHeight="1" x14ac:dyDescent="0.45">
      <c r="A289" s="322"/>
    </row>
    <row r="290" spans="1:1" s="296" customFormat="1" ht="18.649999999999999" customHeight="1" x14ac:dyDescent="0.45">
      <c r="A290" s="322"/>
    </row>
    <row r="291" spans="1:1" s="296" customFormat="1" ht="18.649999999999999" customHeight="1" x14ac:dyDescent="0.45">
      <c r="A291" s="322"/>
    </row>
    <row r="292" spans="1:1" s="296" customFormat="1" ht="18.649999999999999" customHeight="1" x14ac:dyDescent="0.45">
      <c r="A292" s="322"/>
    </row>
    <row r="293" spans="1:1" s="296" customFormat="1" ht="18.649999999999999" customHeight="1" x14ac:dyDescent="0.45">
      <c r="A293" s="322"/>
    </row>
    <row r="294" spans="1:1" s="296" customFormat="1" ht="18.649999999999999" customHeight="1" x14ac:dyDescent="0.45">
      <c r="A294" s="322"/>
    </row>
    <row r="295" spans="1:1" s="296" customFormat="1" ht="18.649999999999999" customHeight="1" x14ac:dyDescent="0.45">
      <c r="A295" s="322"/>
    </row>
    <row r="296" spans="1:1" s="296" customFormat="1" ht="18.649999999999999" customHeight="1" x14ac:dyDescent="0.45">
      <c r="A296" s="322"/>
    </row>
    <row r="297" spans="1:1" s="296" customFormat="1" ht="18.649999999999999" customHeight="1" x14ac:dyDescent="0.45">
      <c r="A297" s="322"/>
    </row>
    <row r="298" spans="1:1" s="296" customFormat="1" ht="18.649999999999999" customHeight="1" x14ac:dyDescent="0.45">
      <c r="A298" s="322"/>
    </row>
    <row r="299" spans="1:1" s="296" customFormat="1" ht="18.649999999999999" customHeight="1" x14ac:dyDescent="0.45">
      <c r="A299" s="322"/>
    </row>
    <row r="300" spans="1:1" s="296" customFormat="1" ht="18.649999999999999" customHeight="1" x14ac:dyDescent="0.45">
      <c r="A300" s="322"/>
    </row>
    <row r="301" spans="1:1" s="296" customFormat="1" ht="18.649999999999999" customHeight="1" x14ac:dyDescent="0.45">
      <c r="A301" s="322"/>
    </row>
    <row r="302" spans="1:1" s="296" customFormat="1" ht="18.649999999999999" customHeight="1" x14ac:dyDescent="0.45">
      <c r="A302" s="322"/>
    </row>
    <row r="303" spans="1:1" s="296" customFormat="1" ht="18.649999999999999" customHeight="1" x14ac:dyDescent="0.45">
      <c r="A303" s="322"/>
    </row>
    <row r="304" spans="1:1" s="296" customFormat="1" ht="18.649999999999999" customHeight="1" x14ac:dyDescent="0.45">
      <c r="A304" s="322"/>
    </row>
    <row r="305" spans="1:1" s="296" customFormat="1" ht="18.649999999999999" customHeight="1" x14ac:dyDescent="0.45">
      <c r="A305" s="322"/>
    </row>
    <row r="306" spans="1:1" s="296" customFormat="1" ht="18.649999999999999" customHeight="1" x14ac:dyDescent="0.45">
      <c r="A306" s="322"/>
    </row>
    <row r="307" spans="1:1" s="296" customFormat="1" ht="18.649999999999999" customHeight="1" x14ac:dyDescent="0.45">
      <c r="A307" s="322"/>
    </row>
    <row r="308" spans="1:1" s="296" customFormat="1" ht="18.649999999999999" customHeight="1" x14ac:dyDescent="0.45">
      <c r="A308" s="322"/>
    </row>
    <row r="309" spans="1:1" s="296" customFormat="1" ht="18.649999999999999" customHeight="1" x14ac:dyDescent="0.45">
      <c r="A309" s="322"/>
    </row>
    <row r="310" spans="1:1" s="296" customFormat="1" ht="18.649999999999999" customHeight="1" x14ac:dyDescent="0.45">
      <c r="A310" s="322"/>
    </row>
    <row r="311" spans="1:1" s="296" customFormat="1" ht="18.649999999999999" customHeight="1" x14ac:dyDescent="0.45">
      <c r="A311" s="322"/>
    </row>
    <row r="312" spans="1:1" s="296" customFormat="1" ht="18.649999999999999" customHeight="1" x14ac:dyDescent="0.45">
      <c r="A312" s="322"/>
    </row>
    <row r="313" spans="1:1" s="296" customFormat="1" ht="18.649999999999999" customHeight="1" x14ac:dyDescent="0.45">
      <c r="A313" s="322"/>
    </row>
    <row r="314" spans="1:1" s="296" customFormat="1" ht="18.649999999999999" customHeight="1" x14ac:dyDescent="0.45">
      <c r="A314" s="322"/>
    </row>
    <row r="315" spans="1:1" s="296" customFormat="1" ht="18.649999999999999" customHeight="1" x14ac:dyDescent="0.45">
      <c r="A315" s="322"/>
    </row>
    <row r="316" spans="1:1" s="296" customFormat="1" ht="18.649999999999999" customHeight="1" x14ac:dyDescent="0.45">
      <c r="A316" s="322"/>
    </row>
    <row r="317" spans="1:1" s="296" customFormat="1" ht="18.649999999999999" customHeight="1" x14ac:dyDescent="0.45">
      <c r="A317" s="322"/>
    </row>
    <row r="318" spans="1:1" s="296" customFormat="1" ht="18.649999999999999" customHeight="1" x14ac:dyDescent="0.45">
      <c r="A318" s="322"/>
    </row>
    <row r="319" spans="1:1" s="296" customFormat="1" ht="18.649999999999999" customHeight="1" x14ac:dyDescent="0.45">
      <c r="A319" s="322"/>
    </row>
    <row r="320" spans="1:1" s="296" customFormat="1" ht="18.649999999999999" customHeight="1" x14ac:dyDescent="0.45">
      <c r="A320" s="322"/>
    </row>
    <row r="321" spans="1:1" s="296" customFormat="1" ht="18.649999999999999" customHeight="1" x14ac:dyDescent="0.45">
      <c r="A321" s="322"/>
    </row>
    <row r="322" spans="1:1" s="296" customFormat="1" ht="18.649999999999999" customHeight="1" x14ac:dyDescent="0.45">
      <c r="A322" s="322"/>
    </row>
    <row r="323" spans="1:1" s="296" customFormat="1" ht="18.649999999999999" customHeight="1" x14ac:dyDescent="0.45">
      <c r="A323" s="322"/>
    </row>
    <row r="324" spans="1:1" s="296" customFormat="1" ht="18.649999999999999" customHeight="1" x14ac:dyDescent="0.45">
      <c r="A324" s="322"/>
    </row>
    <row r="325" spans="1:1" s="296" customFormat="1" ht="18.649999999999999" customHeight="1" x14ac:dyDescent="0.45">
      <c r="A325" s="322"/>
    </row>
    <row r="326" spans="1:1" s="296" customFormat="1" ht="18.649999999999999" customHeight="1" x14ac:dyDescent="0.45">
      <c r="A326" s="322"/>
    </row>
    <row r="327" spans="1:1" s="296" customFormat="1" ht="18.649999999999999" customHeight="1" x14ac:dyDescent="0.45">
      <c r="A327" s="322"/>
    </row>
    <row r="328" spans="1:1" s="296" customFormat="1" ht="18.649999999999999" customHeight="1" x14ac:dyDescent="0.45">
      <c r="A328" s="322"/>
    </row>
    <row r="329" spans="1:1" s="296" customFormat="1" ht="18.649999999999999" customHeight="1" x14ac:dyDescent="0.45">
      <c r="A329" s="322"/>
    </row>
    <row r="330" spans="1:1" s="296" customFormat="1" ht="18.649999999999999" customHeight="1" x14ac:dyDescent="0.45">
      <c r="A330" s="322"/>
    </row>
    <row r="331" spans="1:1" s="296" customFormat="1" ht="18.649999999999999" customHeight="1" x14ac:dyDescent="0.45">
      <c r="A331" s="322"/>
    </row>
    <row r="332" spans="1:1" s="296" customFormat="1" ht="18.649999999999999" customHeight="1" x14ac:dyDescent="0.45">
      <c r="A332" s="322"/>
    </row>
    <row r="333" spans="1:1" s="296" customFormat="1" ht="18.649999999999999" customHeight="1" x14ac:dyDescent="0.45">
      <c r="A333" s="322"/>
    </row>
    <row r="334" spans="1:1" s="296" customFormat="1" ht="18.649999999999999" customHeight="1" x14ac:dyDescent="0.45">
      <c r="A334" s="322"/>
    </row>
    <row r="335" spans="1:1" s="296" customFormat="1" ht="18.649999999999999" customHeight="1" x14ac:dyDescent="0.45">
      <c r="A335" s="322"/>
    </row>
    <row r="336" spans="1:1" s="296" customFormat="1" ht="18.649999999999999" customHeight="1" x14ac:dyDescent="0.45">
      <c r="A336" s="322"/>
    </row>
    <row r="337" spans="1:1" s="296" customFormat="1" ht="18.649999999999999" customHeight="1" x14ac:dyDescent="0.45">
      <c r="A337" s="322"/>
    </row>
    <row r="338" spans="1:1" s="296" customFormat="1" ht="18.649999999999999" customHeight="1" x14ac:dyDescent="0.45">
      <c r="A338" s="322"/>
    </row>
    <row r="339" spans="1:1" s="296" customFormat="1" ht="18.649999999999999" customHeight="1" x14ac:dyDescent="0.45">
      <c r="A339" s="322"/>
    </row>
    <row r="340" spans="1:1" s="296" customFormat="1" ht="18.649999999999999" customHeight="1" x14ac:dyDescent="0.45">
      <c r="A340" s="322"/>
    </row>
    <row r="341" spans="1:1" s="296" customFormat="1" ht="18.649999999999999" customHeight="1" x14ac:dyDescent="0.45">
      <c r="A341" s="322"/>
    </row>
    <row r="342" spans="1:1" s="296" customFormat="1" ht="18.649999999999999" customHeight="1" x14ac:dyDescent="0.45">
      <c r="A342" s="322"/>
    </row>
    <row r="343" spans="1:1" s="296" customFormat="1" ht="18.649999999999999" customHeight="1" x14ac:dyDescent="0.45">
      <c r="A343" s="322"/>
    </row>
    <row r="344" spans="1:1" s="296" customFormat="1" ht="18.649999999999999" customHeight="1" x14ac:dyDescent="0.45">
      <c r="A344" s="322"/>
    </row>
    <row r="345" spans="1:1" s="296" customFormat="1" ht="18.649999999999999" customHeight="1" x14ac:dyDescent="0.45">
      <c r="A345" s="322"/>
    </row>
    <row r="346" spans="1:1" s="296" customFormat="1" ht="18.649999999999999" customHeight="1" x14ac:dyDescent="0.45">
      <c r="A346" s="322"/>
    </row>
    <row r="347" spans="1:1" s="296" customFormat="1" ht="18.649999999999999" customHeight="1" x14ac:dyDescent="0.45">
      <c r="A347" s="322"/>
    </row>
    <row r="348" spans="1:1" s="296" customFormat="1" ht="18.649999999999999" customHeight="1" x14ac:dyDescent="0.45">
      <c r="A348" s="322"/>
    </row>
    <row r="349" spans="1:1" s="296" customFormat="1" ht="18.649999999999999" customHeight="1" x14ac:dyDescent="0.45">
      <c r="A349" s="322"/>
    </row>
    <row r="350" spans="1:1" s="296" customFormat="1" ht="18.649999999999999" customHeight="1" x14ac:dyDescent="0.45">
      <c r="A350" s="322"/>
    </row>
    <row r="351" spans="1:1" s="296" customFormat="1" ht="18.649999999999999" customHeight="1" x14ac:dyDescent="0.45">
      <c r="A351" s="322"/>
    </row>
    <row r="352" spans="1:1" s="296" customFormat="1" ht="18.649999999999999" customHeight="1" x14ac:dyDescent="0.45">
      <c r="A352" s="322"/>
    </row>
    <row r="353" spans="1:1" s="296" customFormat="1" ht="18.649999999999999" customHeight="1" x14ac:dyDescent="0.45">
      <c r="A353" s="322"/>
    </row>
    <row r="354" spans="1:1" s="296" customFormat="1" ht="18.649999999999999" customHeight="1" x14ac:dyDescent="0.45">
      <c r="A354" s="322"/>
    </row>
    <row r="355" spans="1:1" s="296" customFormat="1" ht="18.649999999999999" customHeight="1" x14ac:dyDescent="0.45">
      <c r="A355" s="322"/>
    </row>
  </sheetData>
  <sheetProtection selectLockedCells="1"/>
  <mergeCells count="165">
    <mergeCell ref="B223:H223"/>
    <mergeCell ref="B217:H217"/>
    <mergeCell ref="B218:H218"/>
    <mergeCell ref="B219:H219"/>
    <mergeCell ref="B220:H220"/>
    <mergeCell ref="B221:H221"/>
    <mergeCell ref="B222:H222"/>
    <mergeCell ref="B211:H211"/>
    <mergeCell ref="B212:H212"/>
    <mergeCell ref="B213:H213"/>
    <mergeCell ref="B214:H214"/>
    <mergeCell ref="B215:H215"/>
    <mergeCell ref="B216:H216"/>
    <mergeCell ref="B205:H205"/>
    <mergeCell ref="B206:H206"/>
    <mergeCell ref="B207:H207"/>
    <mergeCell ref="B208:H208"/>
    <mergeCell ref="B209:H209"/>
    <mergeCell ref="B210:H210"/>
    <mergeCell ref="B199:H199"/>
    <mergeCell ref="B200:H200"/>
    <mergeCell ref="B201:H201"/>
    <mergeCell ref="B202:H202"/>
    <mergeCell ref="B203:H203"/>
    <mergeCell ref="B204:H204"/>
    <mergeCell ref="B193:H193"/>
    <mergeCell ref="B194:H194"/>
    <mergeCell ref="B195:H195"/>
    <mergeCell ref="B196:H196"/>
    <mergeCell ref="B197:H197"/>
    <mergeCell ref="B198:H198"/>
    <mergeCell ref="B166:H166"/>
    <mergeCell ref="A167:A168"/>
    <mergeCell ref="B167:H168"/>
    <mergeCell ref="I167:K167"/>
    <mergeCell ref="L167:N167"/>
    <mergeCell ref="B192:H192"/>
    <mergeCell ref="B126:H126"/>
    <mergeCell ref="B127:H127"/>
    <mergeCell ref="B128:H128"/>
    <mergeCell ref="B129:H129"/>
    <mergeCell ref="B130:H130"/>
    <mergeCell ref="B165:H165"/>
    <mergeCell ref="B118:H118"/>
    <mergeCell ref="B121:H121"/>
    <mergeCell ref="B122:H122"/>
    <mergeCell ref="B123:H123"/>
    <mergeCell ref="B124:H124"/>
    <mergeCell ref="B125:H125"/>
    <mergeCell ref="B112:H112"/>
    <mergeCell ref="B113:H113"/>
    <mergeCell ref="B114:H114"/>
    <mergeCell ref="B115:H115"/>
    <mergeCell ref="B116:H116"/>
    <mergeCell ref="B117:H117"/>
    <mergeCell ref="B105:H105"/>
    <mergeCell ref="B106:H106"/>
    <mergeCell ref="B107:H107"/>
    <mergeCell ref="B108:H108"/>
    <mergeCell ref="B109:H109"/>
    <mergeCell ref="B111:H111"/>
    <mergeCell ref="B99:H99"/>
    <mergeCell ref="B100:H100"/>
    <mergeCell ref="B101:H101"/>
    <mergeCell ref="B102:H102"/>
    <mergeCell ref="B103:H103"/>
    <mergeCell ref="B104:H104"/>
    <mergeCell ref="B110:H110"/>
    <mergeCell ref="B93:H93"/>
    <mergeCell ref="B94:H94"/>
    <mergeCell ref="B95:H95"/>
    <mergeCell ref="B96:H96"/>
    <mergeCell ref="B97:H97"/>
    <mergeCell ref="B98:H98"/>
    <mergeCell ref="B87:H87"/>
    <mergeCell ref="B88:H88"/>
    <mergeCell ref="B89:H89"/>
    <mergeCell ref="B90:H90"/>
    <mergeCell ref="B91:H91"/>
    <mergeCell ref="B92:H92"/>
    <mergeCell ref="B79:H79"/>
    <mergeCell ref="B80:H80"/>
    <mergeCell ref="B81:H81"/>
    <mergeCell ref="B82:H82"/>
    <mergeCell ref="B85:H85"/>
    <mergeCell ref="B86:H86"/>
    <mergeCell ref="B72:H72"/>
    <mergeCell ref="B73:H73"/>
    <mergeCell ref="B75:H75"/>
    <mergeCell ref="B76:H76"/>
    <mergeCell ref="B77:H77"/>
    <mergeCell ref="B78:H78"/>
    <mergeCell ref="B74:H74"/>
    <mergeCell ref="B66:H66"/>
    <mergeCell ref="B67:H67"/>
    <mergeCell ref="B68:H68"/>
    <mergeCell ref="B69:H69"/>
    <mergeCell ref="B70:H70"/>
    <mergeCell ref="B71:H71"/>
    <mergeCell ref="B60:H60"/>
    <mergeCell ref="B61:H61"/>
    <mergeCell ref="B62:H62"/>
    <mergeCell ref="B63:H63"/>
    <mergeCell ref="B64:H64"/>
    <mergeCell ref="B65:H65"/>
    <mergeCell ref="B54:H54"/>
    <mergeCell ref="B55:H55"/>
    <mergeCell ref="B56:H56"/>
    <mergeCell ref="B57:H57"/>
    <mergeCell ref="B58:H58"/>
    <mergeCell ref="B59:H59"/>
    <mergeCell ref="B47:H47"/>
    <mergeCell ref="B48:H48"/>
    <mergeCell ref="B50:H50"/>
    <mergeCell ref="B51:H51"/>
    <mergeCell ref="B52:H52"/>
    <mergeCell ref="B53:H53"/>
    <mergeCell ref="B41:H41"/>
    <mergeCell ref="B42:H42"/>
    <mergeCell ref="B43:H43"/>
    <mergeCell ref="B44:H44"/>
    <mergeCell ref="B45:H45"/>
    <mergeCell ref="B46:H46"/>
    <mergeCell ref="B35:H35"/>
    <mergeCell ref="B36:H36"/>
    <mergeCell ref="B37:H37"/>
    <mergeCell ref="B38:H38"/>
    <mergeCell ref="B39:H39"/>
    <mergeCell ref="B40:H40"/>
    <mergeCell ref="B29:H29"/>
    <mergeCell ref="B30:H30"/>
    <mergeCell ref="B31:H31"/>
    <mergeCell ref="B32:H32"/>
    <mergeCell ref="B33:H33"/>
    <mergeCell ref="B34:H34"/>
    <mergeCell ref="B23:H23"/>
    <mergeCell ref="B24:H24"/>
    <mergeCell ref="B25:H25"/>
    <mergeCell ref="B26:H26"/>
    <mergeCell ref="B27:H27"/>
    <mergeCell ref="B28:H28"/>
    <mergeCell ref="B17:H17"/>
    <mergeCell ref="B18:H18"/>
    <mergeCell ref="B19:H19"/>
    <mergeCell ref="B20:H20"/>
    <mergeCell ref="B21:H21"/>
    <mergeCell ref="B22:H22"/>
    <mergeCell ref="B11:H11"/>
    <mergeCell ref="B12:H12"/>
    <mergeCell ref="B13:H13"/>
    <mergeCell ref="B14:H14"/>
    <mergeCell ref="B15:H15"/>
    <mergeCell ref="B16:H16"/>
    <mergeCell ref="B5:H5"/>
    <mergeCell ref="B6:H6"/>
    <mergeCell ref="B7:H7"/>
    <mergeCell ref="B8:H8"/>
    <mergeCell ref="B9:H9"/>
    <mergeCell ref="B10:H10"/>
    <mergeCell ref="I1:M1"/>
    <mergeCell ref="A2:A3"/>
    <mergeCell ref="B2:H3"/>
    <mergeCell ref="I2:K2"/>
    <mergeCell ref="L2:N2"/>
    <mergeCell ref="B4:H4"/>
  </mergeCells>
  <pageMargins left="0.59055118110236227" right="0.59055118110236227" top="0.94488188976377963" bottom="0.82677165354330717" header="0.31496062992125984" footer="0.31496062992125984"/>
  <pageSetup scale="71" fitToHeight="0" orientation="portrait" horizontalDpi="4294967293" r:id="rId1"/>
  <headerFooter>
    <oddHeader>&amp;C&amp;"Palatino Linotype,Negrita"&amp;16Programa Fábricas de Productividad
Guía para el diagnóstico general de la Empresa</oddHeader>
    <oddFooter>&amp;L&amp;G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1" manualBreakCount="1">
    <brk id="166" max="2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E6DB-231B-402F-9D49-44F06014C850}">
  <sheetPr>
    <tabColor theme="4" tint="-0.249977111117893"/>
  </sheetPr>
  <dimension ref="A1:W27"/>
  <sheetViews>
    <sheetView showGridLines="0" view="pageLayout" topLeftCell="C20" zoomScale="70" zoomScaleNormal="100" zoomScaleSheetLayoutView="55" zoomScalePageLayoutView="70" workbookViewId="0">
      <selection activeCell="C20" sqref="C20"/>
    </sheetView>
  </sheetViews>
  <sheetFormatPr baseColWidth="10" defaultColWidth="5" defaultRowHeight="28.15" customHeight="1" x14ac:dyDescent="0.35"/>
  <cols>
    <col min="1" max="1" width="6.81640625" style="404" customWidth="1"/>
    <col min="2" max="2" width="46.26953125" style="404" customWidth="1"/>
    <col min="3" max="3" width="17.26953125" style="404" customWidth="1"/>
    <col min="4" max="4" width="9.7265625" style="404" customWidth="1"/>
    <col min="5" max="5" width="11.54296875" style="404" customWidth="1"/>
    <col min="6" max="15" width="9.26953125" style="404" customWidth="1"/>
    <col min="16" max="16" width="15.7265625" style="404" customWidth="1"/>
    <col min="17" max="17" width="5" style="404"/>
    <col min="18" max="18" width="8.1796875" style="404" customWidth="1"/>
    <col min="19" max="19" width="46.1796875" style="404" customWidth="1"/>
    <col min="20" max="20" width="17.7265625" style="404" customWidth="1"/>
    <col min="21" max="16384" width="5" style="404"/>
  </cols>
  <sheetData>
    <row r="1" spans="1:20" ht="28.15" customHeight="1" thickBot="1" x14ac:dyDescent="0.4">
      <c r="Q1" s="405"/>
    </row>
    <row r="2" spans="1:20" ht="28.15" customHeight="1" thickTop="1" thickBot="1" x14ac:dyDescent="0.4">
      <c r="Q2" s="406"/>
    </row>
    <row r="3" spans="1:20" ht="28.15" customHeight="1" thickBot="1" x14ac:dyDescent="0.4">
      <c r="G3" s="407"/>
      <c r="K3" s="408" t="s">
        <v>770</v>
      </c>
      <c r="Q3" s="409"/>
    </row>
    <row r="4" spans="1:20" ht="28.15" customHeight="1" thickBot="1" x14ac:dyDescent="0.4">
      <c r="F4" s="407"/>
      <c r="G4" s="407"/>
      <c r="K4" s="408" t="s">
        <v>771</v>
      </c>
      <c r="L4" s="407"/>
      <c r="Q4" s="409"/>
    </row>
    <row r="5" spans="1:20" ht="28.15" customHeight="1" thickBot="1" x14ac:dyDescent="0.4">
      <c r="G5" s="407"/>
      <c r="Q5" s="409"/>
    </row>
    <row r="6" spans="1:20" ht="52.15" customHeight="1" thickBot="1" x14ac:dyDescent="0.4">
      <c r="G6" s="407"/>
      <c r="Q6" s="409"/>
    </row>
    <row r="7" spans="1:20" ht="39" customHeight="1" thickBot="1" x14ac:dyDescent="0.4">
      <c r="B7" s="410" t="s">
        <v>772</v>
      </c>
      <c r="Q7" s="409"/>
      <c r="S7" s="410" t="s">
        <v>773</v>
      </c>
    </row>
    <row r="8" spans="1:20" ht="45" customHeight="1" thickBot="1" x14ac:dyDescent="0.4">
      <c r="A8" s="411" t="s">
        <v>734</v>
      </c>
      <c r="B8" s="412" t="s">
        <v>774</v>
      </c>
      <c r="C8" s="412" t="s">
        <v>736</v>
      </c>
      <c r="F8" s="413"/>
      <c r="G8" s="413"/>
      <c r="H8" s="413"/>
      <c r="I8" s="413"/>
      <c r="J8" s="413"/>
      <c r="K8" s="414"/>
      <c r="L8" s="415">
        <v>0.6</v>
      </c>
      <c r="M8" s="413"/>
      <c r="N8" s="415">
        <v>0.8</v>
      </c>
      <c r="O8" s="413"/>
      <c r="P8" s="413"/>
      <c r="Q8" s="409"/>
      <c r="R8" s="412" t="s">
        <v>734</v>
      </c>
      <c r="S8" s="412" t="s">
        <v>775</v>
      </c>
      <c r="T8" s="412" t="s">
        <v>736</v>
      </c>
    </row>
    <row r="9" spans="1:20" ht="47.5" customHeight="1" thickTop="1" thickBot="1" x14ac:dyDescent="0.4">
      <c r="A9" s="416">
        <v>1</v>
      </c>
      <c r="B9" s="417" t="s">
        <v>39</v>
      </c>
      <c r="C9" s="418">
        <f>IF('1'!$E$11&lt;&gt;"",'1'!$E$2,IF('1'!$F$11&lt;&gt;"",'1'!$F$2,IF('1'!$G$11&lt;&gt;"",'1'!$G$2,IF('1'!$H$11&gt;"",'1'!$H$2,IF('1'!$I$11&lt;&gt;"",'1'!$I$2,0)))))</f>
        <v>2</v>
      </c>
      <c r="F9" s="419"/>
      <c r="G9" s="420"/>
      <c r="H9" s="420"/>
      <c r="I9" s="420"/>
      <c r="J9" s="420"/>
      <c r="K9" s="420"/>
      <c r="L9" s="421"/>
      <c r="M9" s="421"/>
      <c r="N9" s="422"/>
      <c r="O9" s="423"/>
      <c r="P9" s="413"/>
      <c r="Q9" s="409"/>
      <c r="R9" s="416">
        <v>1</v>
      </c>
      <c r="S9" s="417" t="str">
        <f>'Situación actual'!B125</f>
        <v>Gestión comercial</v>
      </c>
      <c r="T9" s="424">
        <f>'Situación actual'!J125</f>
        <v>2.5</v>
      </c>
    </row>
    <row r="10" spans="1:20" ht="47.5" customHeight="1" thickBot="1" x14ac:dyDescent="0.4">
      <c r="A10" s="425">
        <v>2</v>
      </c>
      <c r="B10" s="426" t="s">
        <v>776</v>
      </c>
      <c r="C10" s="427">
        <f>IF('8'!$E$31&lt;&gt;"",'8'!$E$2,IF('8'!$F$31&lt;&gt;"",'8'!$F$2,IF('8'!$G$31&lt;&gt;"",'8'!$G$2,IF('8'!$H$31&lt;&gt;"",'8'!$H$2,IF('8'!$I$31&lt;&gt;"",'8'!$I$2,0)))))</f>
        <v>1</v>
      </c>
      <c r="E10" s="428"/>
      <c r="F10" s="429"/>
      <c r="G10" s="430" t="s">
        <v>777</v>
      </c>
      <c r="H10" s="431"/>
      <c r="I10" s="431"/>
      <c r="J10" s="431"/>
      <c r="K10" s="431"/>
      <c r="L10" s="432"/>
      <c r="M10" s="432"/>
      <c r="N10" s="433"/>
      <c r="O10" s="434"/>
      <c r="P10" s="435">
        <v>0.8</v>
      </c>
      <c r="Q10" s="409"/>
      <c r="R10" s="425">
        <v>2</v>
      </c>
      <c r="S10" s="426" t="str">
        <f>'Situación actual'!B126</f>
        <v>Productividad operacional</v>
      </c>
      <c r="T10" s="427">
        <f>'Situación actual'!J126</f>
        <v>2</v>
      </c>
    </row>
    <row r="11" spans="1:20" ht="47.5" customHeight="1" thickBot="1" x14ac:dyDescent="0.4">
      <c r="A11" s="436">
        <v>3</v>
      </c>
      <c r="B11" s="437" t="s">
        <v>778</v>
      </c>
      <c r="C11" s="438">
        <f>IF('5'!E11&lt;&gt;"",'5'!$E$2,IF('5'!F11&lt;&gt;"",'5'!$F$2,IF('5'!G11&lt;&gt;"",'5'!$G$2,IF('5'!H11&lt;&gt;"",'5'!$H$2,IF('5'!I11&lt;&gt;"",'5'!$I$2,0)))))</f>
        <v>1</v>
      </c>
      <c r="E11" s="1076" t="s">
        <v>779</v>
      </c>
      <c r="F11" s="429"/>
      <c r="G11" s="431"/>
      <c r="H11" s="431"/>
      <c r="I11" s="431"/>
      <c r="J11" s="431"/>
      <c r="K11" s="431"/>
      <c r="L11" s="439"/>
      <c r="M11" s="440" t="s">
        <v>780</v>
      </c>
      <c r="N11" s="439"/>
      <c r="O11" s="441"/>
      <c r="P11" s="442"/>
      <c r="Q11" s="409"/>
      <c r="R11" s="436">
        <v>3</v>
      </c>
      <c r="S11" s="437" t="str">
        <f>'Situación actual'!B127</f>
        <v>Productividad laboral</v>
      </c>
      <c r="T11" s="438">
        <f>'Situación actual'!J127</f>
        <v>0</v>
      </c>
    </row>
    <row r="12" spans="1:20" ht="47.5" customHeight="1" thickBot="1" x14ac:dyDescent="0.4">
      <c r="A12" s="425">
        <v>4</v>
      </c>
      <c r="B12" s="426" t="s">
        <v>211</v>
      </c>
      <c r="C12" s="427">
        <f>IFERROR(AVERAGE(IF('3'!E$3&lt;&gt;"",'3'!$E$2,IF('3'!F$3&lt;&gt;"",'3'!$F$2,IF('3'!G$3&lt;&gt;"",'3'!$G$2,IF('3'!H$3&lt;&gt;"",'3'!$H$2,IF('3'!$I$3&lt;&gt;"",'3'!$I$2,0))))),IF('3'!E$5&lt;&gt;"",'3'!$E$2,IF('3'!F$5&lt;&gt;"",'3'!$F$2,IF('3'!G$5&lt;&gt;"",'3'!$G$2,IF('3'!H$5&lt;&gt;"",'3'!$H$2,IF('3'!$I$5&lt;&gt;"",'3'!$I$2,0)))))),0)</f>
        <v>0</v>
      </c>
      <c r="E12" s="1076"/>
      <c r="F12" s="429"/>
      <c r="G12" s="431"/>
      <c r="H12" s="431"/>
      <c r="I12" s="431"/>
      <c r="J12" s="431"/>
      <c r="K12" s="431"/>
      <c r="L12" s="432"/>
      <c r="M12" s="443" t="s">
        <v>781</v>
      </c>
      <c r="N12" s="439"/>
      <c r="O12" s="441"/>
      <c r="P12" s="435">
        <v>0.6</v>
      </c>
      <c r="Q12" s="409"/>
      <c r="R12" s="425">
        <v>4</v>
      </c>
      <c r="S12" s="426" t="str">
        <f>'Situación actual'!B128</f>
        <v>Eficiencia energética</v>
      </c>
      <c r="T12" s="427">
        <f>'Situación actual'!J128</f>
        <v>4.6363636363636367</v>
      </c>
    </row>
    <row r="13" spans="1:20" ht="47.5" customHeight="1" thickBot="1" x14ac:dyDescent="0.4">
      <c r="A13" s="436">
        <v>5</v>
      </c>
      <c r="B13" s="437" t="s">
        <v>782</v>
      </c>
      <c r="C13" s="438">
        <f>IFERROR(AVERAGE(IF('2'!E$6&lt;&gt;"",'2'!$E$2,IF('2'!F$6&lt;&gt;"",'2'!$F$2,IF('2'!G$6&lt;&gt;"",'2'!$G$2,IF('2'!H$6&lt;&gt;"",'2'!$H$2,IF('2'!$I$6&lt;&gt;"",'2'!$I$2,0))))),IF('2'!E$8&lt;&gt;"",'2'!$E$2,IF('2'!F$8&lt;&gt;"",'2'!$F$2,IF('2'!G$8&lt;&gt;"",'2'!$G$2,IF('2'!H$8&lt;&gt;"",'2'!$H$2,IF('2'!$I$8&lt;&gt;"",'2'!$I$2,0))))),IF('2'!E$4&lt;&gt;"",'2'!$E$2,IF('2'!F$4&lt;&gt;"",'2'!$F$2,IF('2'!G$4&lt;&gt;"",'2'!$G$2,IF('2'!H$4&lt;&gt;"",'2'!$H$2,IF('2'!$I$6&lt;&gt;"",'2'!$I$2,0)))))),0)</f>
        <v>0.66666666666666663</v>
      </c>
      <c r="E13" s="1076"/>
      <c r="F13" s="444"/>
      <c r="G13" s="445" t="s">
        <v>783</v>
      </c>
      <c r="H13" s="446"/>
      <c r="I13" s="446"/>
      <c r="J13" s="446"/>
      <c r="K13" s="446"/>
      <c r="L13" s="447"/>
      <c r="M13" s="447"/>
      <c r="N13" s="447"/>
      <c r="O13" s="448"/>
      <c r="P13" s="442"/>
      <c r="Q13" s="409"/>
      <c r="R13" s="436">
        <v>5</v>
      </c>
      <c r="S13" s="426" t="str">
        <f>'Situación actual'!B129</f>
        <v>Gestión de la calidad</v>
      </c>
      <c r="T13" s="427">
        <f>'Situación actual'!J129</f>
        <v>1</v>
      </c>
    </row>
    <row r="14" spans="1:20" ht="47.5" customHeight="1" thickBot="1" x14ac:dyDescent="0.4">
      <c r="A14" s="425">
        <v>6</v>
      </c>
      <c r="B14" s="426" t="s">
        <v>784</v>
      </c>
      <c r="C14" s="427" t="str">
        <f>IF(OR('2'!E$31="NA",'2'!F$31="NA",'2'!G$31="NA",'2'!H$31="NA",'2'!I$31="NA"),"NA",IF('2'!E$31&lt;&gt;"",'2'!$E$2,IF('2'!F$31&lt;&gt;"",'2'!$F$2,IF('2'!G$31&lt;&gt;"",'2'!$G$2,IF('2'!H$31&lt;&gt;"",'2'!$H$2,IF('2'!$I$31&lt;&gt;"",'2'!$I$2,0))))))</f>
        <v>NA</v>
      </c>
      <c r="E14" s="1076"/>
      <c r="F14" s="444"/>
      <c r="G14" s="446"/>
      <c r="H14" s="446"/>
      <c r="I14" s="446"/>
      <c r="J14" s="446"/>
      <c r="K14" s="446"/>
      <c r="L14" s="447"/>
      <c r="M14" s="447"/>
      <c r="N14" s="447"/>
      <c r="O14" s="448"/>
      <c r="P14" s="442"/>
      <c r="Q14" s="449"/>
      <c r="R14" s="425">
        <v>6</v>
      </c>
      <c r="S14" s="426" t="str">
        <f>'Situación actual'!B130</f>
        <v>Desarrollo y sofisticación de producto</v>
      </c>
      <c r="T14" s="427">
        <f>'Situación actual'!J130</f>
        <v>2.3333333333333335</v>
      </c>
    </row>
    <row r="15" spans="1:20" ht="47.5" customHeight="1" thickBot="1" x14ac:dyDescent="0.4">
      <c r="A15" s="436">
        <v>7</v>
      </c>
      <c r="B15" s="437" t="s">
        <v>785</v>
      </c>
      <c r="C15" s="438">
        <f>IF(OR('2'!E$18="NA",'2'!F$18="NA",'2'!G$18="NA",'2'!H$18="NA",'2'!I$18="NA"),"NA",IF('2'!$E$18&lt;&gt;"",'2'!$E$2,IF('2'!$F$18&lt;&gt;"",'2'!$F$2,IF('2'!$G$18&lt;&gt;"",'2'!$G$2,IF('2'!$H$18&gt;"",'2'!$H$2,IF('2'!$I$18&lt;&gt;"",'2'!$I$2,0))))))</f>
        <v>0</v>
      </c>
      <c r="F15" s="450"/>
      <c r="G15" s="451"/>
      <c r="H15" s="451"/>
      <c r="I15" s="451"/>
      <c r="J15" s="452"/>
      <c r="K15" s="452"/>
      <c r="L15" s="447"/>
      <c r="M15" s="447"/>
      <c r="N15" s="447"/>
      <c r="O15" s="448"/>
      <c r="P15" s="442"/>
      <c r="Q15" s="453"/>
      <c r="R15" s="436">
        <v>7</v>
      </c>
      <c r="S15" s="437" t="str">
        <f>'Situación actual'!B131</f>
        <v>Transformación digital</v>
      </c>
      <c r="T15" s="438">
        <f>'Situación actual'!J131</f>
        <v>3</v>
      </c>
    </row>
    <row r="16" spans="1:20" ht="47.5" customHeight="1" thickBot="1" x14ac:dyDescent="0.4">
      <c r="A16" s="425">
        <v>8</v>
      </c>
      <c r="B16" s="426" t="s">
        <v>786</v>
      </c>
      <c r="C16" s="427">
        <f>IF(OR('2'!E$16="NA",'2'!F$16="NA",'2'!G$16="NA",'2'!H$16="NA",'2'!I$16="NA"),"NA",IF('2'!E$16&lt;&gt;"",'2'!$E$2,IF('2'!F$16&lt;&gt;"",'2'!$F$2,IF('2'!G$16&lt;&gt;"",'2'!$G$2,IF('2'!H$16&lt;&gt;"",'2'!$H$2,IF('2'!$I$16&lt;&gt;"",'2'!$I$2,0))))))</f>
        <v>0</v>
      </c>
      <c r="F16" s="450"/>
      <c r="G16" s="454" t="s">
        <v>787</v>
      </c>
      <c r="H16" s="451"/>
      <c r="I16" s="451"/>
      <c r="J16" s="452"/>
      <c r="K16" s="452"/>
      <c r="L16" s="447"/>
      <c r="M16" s="455" t="s">
        <v>788</v>
      </c>
      <c r="N16" s="447"/>
      <c r="O16" s="448"/>
      <c r="P16" s="442"/>
      <c r="Q16" s="256"/>
      <c r="R16" s="425">
        <v>8</v>
      </c>
      <c r="S16" s="426" t="str">
        <f>'Situación actual'!B132</f>
        <v>Gestión logística</v>
      </c>
      <c r="T16" s="427">
        <f>'Situación actual'!J132</f>
        <v>4.2</v>
      </c>
    </row>
    <row r="17" spans="1:23" ht="47.5" customHeight="1" thickBot="1" x14ac:dyDescent="0.4">
      <c r="A17" s="436">
        <v>9</v>
      </c>
      <c r="B17" s="437" t="s">
        <v>789</v>
      </c>
      <c r="C17" s="438">
        <f>IF(AND(OR('2'!E$10="NA",'2'!F$10="NA",'2'!G$10="NA",'2'!H$10="NA",'2'!I$10="NA"),OR('2'!E$12="NA",'2'!F$12="NA",'2'!G$12="NA",'2'!H$12="NA",'2'!I$12="NA")),"NA",IFERROR(AVERAGE(IF('2'!E$10&lt;&gt;"",'2'!$E$2,IF('2'!F$10&lt;&gt;"",'2'!$F$2,IF('2'!G$10&lt;&gt;"",'2'!$G$2,IF('2'!H$10&lt;&gt;"",'2'!$H$2,IF('2'!$I$10&lt;&gt;"",'2'!$I$2,0))))),IF('2'!E$12&lt;&gt;"",'2'!$E$2,IF('2'!F$12&lt;&gt;"",'2'!$F$2,IF('2'!G$12&lt;&gt;"",'2'!$G$2,IF('2'!H$12&lt;&gt;"",'2'!$H$2,IF('2'!$I$12&lt;&gt;"",'2'!$I$2,0)))))),0))</f>
        <v>0</v>
      </c>
      <c r="F17" s="450"/>
      <c r="G17" s="456" t="s">
        <v>790</v>
      </c>
      <c r="H17" s="451"/>
      <c r="I17" s="451"/>
      <c r="J17" s="452"/>
      <c r="K17" s="452"/>
      <c r="L17" s="447"/>
      <c r="M17" s="447"/>
      <c r="N17" s="447"/>
      <c r="O17" s="448"/>
      <c r="P17" s="442"/>
      <c r="R17" s="436">
        <v>9</v>
      </c>
      <c r="S17" s="437" t="str">
        <f>'Situación actual'!B133</f>
        <v>Sostenibilidad ambiental</v>
      </c>
      <c r="T17" s="438">
        <f>'Situación actual'!J133</f>
        <v>5</v>
      </c>
    </row>
    <row r="18" spans="1:23" ht="47.5" customHeight="1" thickBot="1" x14ac:dyDescent="0.4">
      <c r="A18" s="425">
        <v>10</v>
      </c>
      <c r="B18" s="426" t="s">
        <v>791</v>
      </c>
      <c r="C18" s="427">
        <f>IF('6'!E$19&lt;&gt;"",'6'!$E$2,IF('6'!F$19&lt;&gt;"",'6'!$F$2,IF('6'!G$19&lt;&gt;"",'6'!$G$2,IF('6'!H$19&lt;&gt;"",'6'!$H$2,IF('6'!$I$19&lt;&gt;"",'6'!$I$2,0)))))</f>
        <v>5</v>
      </c>
      <c r="F18" s="457"/>
      <c r="G18" s="458"/>
      <c r="H18" s="458"/>
      <c r="I18" s="458"/>
      <c r="J18" s="459"/>
      <c r="K18" s="459"/>
      <c r="L18" s="460"/>
      <c r="M18" s="460"/>
      <c r="N18" s="460"/>
      <c r="O18" s="461"/>
      <c r="P18" s="442"/>
      <c r="R18" s="462"/>
      <c r="S18" s="463" t="s">
        <v>792</v>
      </c>
      <c r="T18" s="464">
        <f>SUM(T9:T17)</f>
        <v>24.669696969696972</v>
      </c>
    </row>
    <row r="19" spans="1:23" ht="43.9" customHeight="1" thickBot="1" x14ac:dyDescent="0.4">
      <c r="A19" s="436">
        <v>11</v>
      </c>
      <c r="B19" s="437" t="s">
        <v>793</v>
      </c>
      <c r="C19" s="438">
        <f>IF(DF!$E$26&lt;&gt;"",DF!$E$2,IF(DF!$F$26&lt;&gt;"",DF!$F$2,IF(DF!$G$26&lt;&gt;"",DF!$G$2,IF(DF!$H$26&lt;&gt;"",DF!$H$2,IF(DF!$I$26&lt;&gt;"",DF!$I$2,0)))))</f>
        <v>3</v>
      </c>
      <c r="F19" s="413"/>
      <c r="G19" s="413"/>
      <c r="H19" s="413"/>
      <c r="I19" s="415">
        <v>0.4</v>
      </c>
      <c r="J19" s="413"/>
      <c r="K19" s="413"/>
      <c r="L19" s="415">
        <v>0.6</v>
      </c>
      <c r="M19" s="413"/>
      <c r="N19" s="413"/>
      <c r="O19" s="413"/>
      <c r="P19" s="435">
        <v>1</v>
      </c>
      <c r="R19" s="462"/>
      <c r="S19" s="463" t="s">
        <v>794</v>
      </c>
      <c r="T19" s="760">
        <f>T18/(R17*5)</f>
        <v>0.54821548821548827</v>
      </c>
    </row>
    <row r="20" spans="1:23" ht="43.9" customHeight="1" thickBot="1" x14ac:dyDescent="0.4">
      <c r="A20" s="425">
        <v>12</v>
      </c>
      <c r="B20" s="426" t="s">
        <v>795</v>
      </c>
      <c r="C20" s="427">
        <f>IF(DF!$E$19&lt;&gt;"",DF!$E$2,IF(DF!$F$19&lt;&gt;"",DF!$F$2,IF(DF!$G$19&lt;&gt;"",DF!$G$2,IF(DF!$H$19&lt;&gt;"",DF!$H$2,IF(DF!$I$19&lt;&gt;"",DF!$I$2,0)))))</f>
        <v>1</v>
      </c>
      <c r="J20" s="466" t="s">
        <v>796</v>
      </c>
      <c r="R20" s="467"/>
      <c r="S20" s="409"/>
      <c r="T20" s="468"/>
      <c r="W20" s="407"/>
    </row>
    <row r="21" spans="1:23" ht="43.9" customHeight="1" thickBot="1" x14ac:dyDescent="0.4">
      <c r="A21" s="436">
        <v>13</v>
      </c>
      <c r="B21" s="437" t="s">
        <v>797</v>
      </c>
      <c r="C21" s="438">
        <f>IF(DF!$E$12&lt;&gt;"",DF!$E$2,IF(DF!$F$12&lt;&gt;"",DF!$F$2,IF(DF!$G$12&lt;&gt;"",DF!$G$2,IF(DF!$H$12&lt;&gt;"",DF!$H$2,IF(DF!$I$12&lt;&gt;"",DF!$I$2,0)))))</f>
        <v>5</v>
      </c>
      <c r="I21" s="407"/>
    </row>
    <row r="22" spans="1:23" ht="43.9" customHeight="1" thickBot="1" x14ac:dyDescent="0.4">
      <c r="A22" s="820">
        <f>COUNT(C9:C21)</f>
        <v>12</v>
      </c>
      <c r="B22" s="469" t="s">
        <v>792</v>
      </c>
      <c r="C22" s="470">
        <f>SUM(C9:C21)</f>
        <v>18.666666666666668</v>
      </c>
    </row>
    <row r="23" spans="1:23" ht="43.9" customHeight="1" x14ac:dyDescent="0.35">
      <c r="B23" s="469" t="s">
        <v>798</v>
      </c>
      <c r="C23" s="465">
        <f>C22/(A22*5)</f>
        <v>0.31111111111111112</v>
      </c>
      <c r="E23" s="407"/>
    </row>
    <row r="24" spans="1:23" ht="43.9" customHeight="1" x14ac:dyDescent="0.35"/>
    <row r="26" spans="1:23" ht="28.15" customHeight="1" x14ac:dyDescent="0.35">
      <c r="L26" s="471"/>
      <c r="O26" s="471"/>
    </row>
    <row r="27" spans="1:23" ht="28.15" customHeight="1" x14ac:dyDescent="0.35">
      <c r="M27" s="407"/>
    </row>
  </sheetData>
  <sheetProtection selectLockedCells="1"/>
  <mergeCells count="1">
    <mergeCell ref="E11:E14"/>
  </mergeCells>
  <conditionalFormatting sqref="F18">
    <cfRule type="expression" dxfId="122" priority="11">
      <formula>AND($C$23&lt;=0.1,$T$19&lt;=0.1)</formula>
    </cfRule>
  </conditionalFormatting>
  <conditionalFormatting sqref="F17">
    <cfRule type="expression" dxfId="121" priority="10">
      <formula>AND($C$23&gt;0.1,$C$23&lt;=0.2,$T$19&lt;=0.1)</formula>
    </cfRule>
  </conditionalFormatting>
  <conditionalFormatting sqref="G18">
    <cfRule type="expression" dxfId="120" priority="21">
      <formula>AND(,$T$19&gt;0.1,$T$19&lt;=0.2,$C$23&lt;=0.1)</formula>
    </cfRule>
  </conditionalFormatting>
  <conditionalFormatting sqref="H18">
    <cfRule type="expression" dxfId="119" priority="31">
      <formula>AND(,$T$19&gt;0.2,$T$19&lt;=0.3,$C$23&lt;=0.1)</formula>
    </cfRule>
  </conditionalFormatting>
  <conditionalFormatting sqref="I18">
    <cfRule type="expression" dxfId="118" priority="41">
      <formula>AND($T$19&gt;0.3,$T$19&lt;=0.4,$C$23&lt;=0.1)</formula>
    </cfRule>
  </conditionalFormatting>
  <conditionalFormatting sqref="J18">
    <cfRule type="expression" dxfId="117" priority="51">
      <formula>AND($T$19&gt;0.4,$T$19&lt;=0.5,$C$23&lt;=0.1)</formula>
    </cfRule>
  </conditionalFormatting>
  <conditionalFormatting sqref="K18">
    <cfRule type="expression" dxfId="116" priority="61">
      <formula>AND($T$19&gt;0.5,$T$19&lt;=0.6,$C$23&lt;=0.1)</formula>
    </cfRule>
  </conditionalFormatting>
  <conditionalFormatting sqref="L18">
    <cfRule type="expression" dxfId="115" priority="71">
      <formula>AND($T$19&gt;0.6,$T$19&lt;=0.7,$C$23&lt;=0.1)</formula>
    </cfRule>
  </conditionalFormatting>
  <conditionalFormatting sqref="M18">
    <cfRule type="expression" dxfId="114" priority="81">
      <formula>AND($T$19&gt;0.7,$T$19&lt;=0.8,$C$23&lt;=0.1)</formula>
    </cfRule>
  </conditionalFormatting>
  <conditionalFormatting sqref="N18">
    <cfRule type="expression" dxfId="113" priority="91">
      <formula>AND($T$19&gt;0.8,$T$19&lt;=0.9,$C$23&lt;=0.1)</formula>
    </cfRule>
  </conditionalFormatting>
  <conditionalFormatting sqref="O18">
    <cfRule type="expression" dxfId="112" priority="101">
      <formula>AND($T$19&gt;0.9,$T$19&lt;=1,$C$23&lt;=0.1)</formula>
    </cfRule>
  </conditionalFormatting>
  <conditionalFormatting sqref="F16">
    <cfRule type="expression" dxfId="111" priority="9">
      <formula>AND($C$23&gt;0.2,$C$23&lt;=0.3,$T$19&lt;=0.1)</formula>
    </cfRule>
  </conditionalFormatting>
  <conditionalFormatting sqref="F15">
    <cfRule type="expression" dxfId="110" priority="8">
      <formula>AND($C$23&gt;0.3,$C$23&lt;=0.4,$T$19&lt;=0.1)</formula>
    </cfRule>
  </conditionalFormatting>
  <conditionalFormatting sqref="F14">
    <cfRule type="expression" dxfId="109" priority="7">
      <formula>AND($C$23&gt;0.4,$C$23&lt;=0.5,$T$19&lt;=0.1)</formula>
    </cfRule>
  </conditionalFormatting>
  <conditionalFormatting sqref="F13">
    <cfRule type="expression" dxfId="108" priority="6">
      <formula>AND($C$23&gt;0.5,$C$23&lt;=0.6,$T$19&lt;=0.1)</formula>
    </cfRule>
  </conditionalFormatting>
  <conditionalFormatting sqref="F12">
    <cfRule type="expression" dxfId="107" priority="5">
      <formula>AND($C$23&gt;0.6,$C$23&lt;=0.7,$T$19&lt;=0.1)</formula>
    </cfRule>
  </conditionalFormatting>
  <conditionalFormatting sqref="F11">
    <cfRule type="expression" dxfId="106" priority="4">
      <formula>AND($C$23&gt;0.7,$C$23&lt;=0.8,$T$19&lt;=0.1)</formula>
    </cfRule>
  </conditionalFormatting>
  <conditionalFormatting sqref="F10">
    <cfRule type="expression" dxfId="105" priority="3">
      <formula>AND($C$23&gt;0.8,$C$23&lt;=0.9,$T$19&lt;=0.1)</formula>
    </cfRule>
  </conditionalFormatting>
  <conditionalFormatting sqref="F9">
    <cfRule type="expression" dxfId="104" priority="2">
      <formula>AND($C$23&gt;0.9,$C$23&lt;=1,$T$19&lt;=0.1)</formula>
    </cfRule>
  </conditionalFormatting>
  <conditionalFormatting sqref="O17">
    <cfRule type="expression" dxfId="103" priority="100">
      <formula>AND($C$23&gt;0.1,$C$23&lt;=0.2,$T$19&gt;0.9,$T$19&lt;=1)</formula>
    </cfRule>
  </conditionalFormatting>
  <conditionalFormatting sqref="O16">
    <cfRule type="expression" dxfId="102" priority="99">
      <formula>AND($C$23&gt;0.2,$C$23&lt;=0.3,$T$19&gt;0.9,$T$19&lt;=1)</formula>
    </cfRule>
  </conditionalFormatting>
  <conditionalFormatting sqref="O15">
    <cfRule type="expression" dxfId="101" priority="98">
      <formula>AND($C$23&gt;0.3,$C$23&lt;=0.4,$T$19&gt;0.9,$T$19&lt;=1)</formula>
    </cfRule>
  </conditionalFormatting>
  <conditionalFormatting sqref="O14">
    <cfRule type="expression" dxfId="100" priority="97">
      <formula>AND($C$23&gt;0.4,$C$23&lt;=0.5,$T$19&gt;0.9,$T$19&lt;=1)</formula>
    </cfRule>
  </conditionalFormatting>
  <conditionalFormatting sqref="O13">
    <cfRule type="expression" dxfId="99" priority="96">
      <formula>AND($C$23&gt;0.5,$C$23&lt;=0.6,$T$19&gt;0.9,$T$19&lt;=1)</formula>
    </cfRule>
  </conditionalFormatting>
  <conditionalFormatting sqref="O12">
    <cfRule type="expression" dxfId="98" priority="95">
      <formula>AND($C$23&gt;0.6,$C$23&lt;=0.7,$T$19&gt;0.9,$T$19&lt;=1)</formula>
    </cfRule>
  </conditionalFormatting>
  <conditionalFormatting sqref="O11">
    <cfRule type="expression" dxfId="97" priority="94">
      <formula>AND($C$23&gt;0.7,$C$23&lt;=0.8,$T$19&gt;0.9,$T$19&lt;=1)</formula>
    </cfRule>
  </conditionalFormatting>
  <conditionalFormatting sqref="O10">
    <cfRule type="expression" dxfId="96" priority="93">
      <formula>AND($C$23&gt;0.8,$C$23&lt;=0.9,$T$19&gt;0.9,$T$19&lt;=1)</formula>
    </cfRule>
  </conditionalFormatting>
  <conditionalFormatting sqref="O9">
    <cfRule type="expression" dxfId="95" priority="92">
      <formula>AND($C$23&gt;0.9,$C$23&lt;=1,$T$19&gt;0.9,$T$19&lt;=1)</formula>
    </cfRule>
  </conditionalFormatting>
  <conditionalFormatting sqref="G9">
    <cfRule type="expression" dxfId="94" priority="12">
      <formula>AND($C$23&gt;0.9,$C$23&lt;=1,$T$19&gt;0.1,$T$19&lt;=0.2)</formula>
    </cfRule>
  </conditionalFormatting>
  <conditionalFormatting sqref="H9">
    <cfRule type="expression" dxfId="93" priority="22">
      <formula>AND($C$23&gt;0.9,$C$23&lt;=1,$T$19&gt;0.2,$T$19&lt;=0.3)</formula>
    </cfRule>
  </conditionalFormatting>
  <conditionalFormatting sqref="I9">
    <cfRule type="expression" dxfId="92" priority="32">
      <formula>AND($C$23&gt;0.9,$C$23&lt;=1,$T$19&gt;0.3,$T$19&lt;=0.4)</formula>
    </cfRule>
  </conditionalFormatting>
  <conditionalFormatting sqref="J9">
    <cfRule type="expression" dxfId="91" priority="42">
      <formula>AND($C$23&gt;0.9,$C$23&lt;=1,$T$19&gt;0.4,$T$19&lt;=0.5)</formula>
    </cfRule>
  </conditionalFormatting>
  <conditionalFormatting sqref="K9">
    <cfRule type="expression" dxfId="90" priority="52">
      <formula>AND($C$23&gt;0.9,$C$23&lt;=1,$T$19&gt;0.5,$T$19&lt;=0.6)</formula>
    </cfRule>
  </conditionalFormatting>
  <conditionalFormatting sqref="L9">
    <cfRule type="expression" dxfId="89" priority="62">
      <formula>AND($C$23&gt;0.9,$C$23&lt;=1,$T$19&gt;0.6,$T$19&lt;=0.7)</formula>
    </cfRule>
  </conditionalFormatting>
  <conditionalFormatting sqref="M9">
    <cfRule type="expression" dxfId="88" priority="72">
      <formula>AND($C$23&gt;0.9,$C$23&lt;=1,$T$19&gt;0.7,$T$19&lt;=0.8)</formula>
    </cfRule>
  </conditionalFormatting>
  <conditionalFormatting sqref="N9">
    <cfRule type="expression" dxfId="87" priority="82">
      <formula>AND($C$23&gt;0.9,$C$23&lt;=1,$T$19&gt;0.8,$T$19&lt;=0.9)</formula>
    </cfRule>
  </conditionalFormatting>
  <conditionalFormatting sqref="G16">
    <cfRule type="expression" dxfId="86" priority="19">
      <formula>AND($C$23&gt;0.2,$C$23&lt;=0.3,$T$19&gt;0.1,$T$19&lt;=0.2)</formula>
    </cfRule>
  </conditionalFormatting>
  <conditionalFormatting sqref="G15">
    <cfRule type="expression" dxfId="85" priority="18">
      <formula>AND($C$23&gt;0.3,$C$23&lt;=0.4,$T$19&gt;0.1,$T$19&lt;=0.2)</formula>
    </cfRule>
  </conditionalFormatting>
  <conditionalFormatting sqref="G14">
    <cfRule type="expression" dxfId="84" priority="17">
      <formula>AND($C$23&gt;0.4,$C$23&lt;=0.5,$T$19&gt;0.1,$T$19&lt;=0.2)</formula>
    </cfRule>
  </conditionalFormatting>
  <conditionalFormatting sqref="G13">
    <cfRule type="expression" dxfId="83" priority="16">
      <formula>AND($C$23&gt;0.5,$C$23&lt;=0.6,$T$19&gt;0.1,$T$19&lt;=0.2)</formula>
    </cfRule>
  </conditionalFormatting>
  <conditionalFormatting sqref="G12">
    <cfRule type="expression" dxfId="82" priority="15">
      <formula>AND($C$23&gt;0.6,$C$23&lt;=0.7,$T$19&gt;0.1,$T$19&lt;=0.2)</formula>
    </cfRule>
  </conditionalFormatting>
  <conditionalFormatting sqref="G11">
    <cfRule type="expression" dxfId="81" priority="14">
      <formula>AND($C$23&gt;0.7,$C$23&lt;=0.8,$T$19&gt;0.1,$T$19&lt;=0.2)</formula>
    </cfRule>
  </conditionalFormatting>
  <conditionalFormatting sqref="G10">
    <cfRule type="expression" dxfId="80" priority="13">
      <formula>AND($C$23&gt;0.8,$C$23&lt;=0.9,$T$19&gt;0.1,$T$19&lt;=0.2)</formula>
    </cfRule>
  </conditionalFormatting>
  <conditionalFormatting sqref="H10">
    <cfRule type="expression" dxfId="79" priority="23">
      <formula>AND($C$23&gt;0.8,$C$23&lt;=0.9,$T$19&gt;0.2,$T$19&lt;=0.3)</formula>
    </cfRule>
  </conditionalFormatting>
  <conditionalFormatting sqref="H11">
    <cfRule type="expression" dxfId="78" priority="24">
      <formula>AND($C$23&gt;0.7,$C$23&lt;=0.8,$T$19&gt;0.2,$T$19&lt;=0.3)</formula>
    </cfRule>
  </conditionalFormatting>
  <conditionalFormatting sqref="H12">
    <cfRule type="expression" dxfId="77" priority="25">
      <formula>AND($C$23&gt;0.6,$C$23&lt;=0.7,$T$19&gt;0.2,$T$19&lt;=0.3)</formula>
    </cfRule>
  </conditionalFormatting>
  <conditionalFormatting sqref="H13">
    <cfRule type="expression" dxfId="76" priority="26">
      <formula>AND($C$23&gt;0.5,$C$23&lt;=0.6,$T$19&gt;0.2,$T$19&lt;=0.3)</formula>
    </cfRule>
  </conditionalFormatting>
  <conditionalFormatting sqref="H14">
    <cfRule type="expression" dxfId="75" priority="27">
      <formula>AND($C$23&gt;0.4,$C$23&lt;=0.5,$T$19&gt;0.2,$T$19&lt;=0.3)</formula>
    </cfRule>
  </conditionalFormatting>
  <conditionalFormatting sqref="H15">
    <cfRule type="expression" dxfId="74" priority="28">
      <formula>AND($C$23&gt;0.3,$C$23&lt;=0.4,$T$19&gt;0.2,$T$19&lt;=0.3)</formula>
    </cfRule>
  </conditionalFormatting>
  <conditionalFormatting sqref="H16">
    <cfRule type="expression" dxfId="73" priority="29">
      <formula>AND($C$23&gt;0.2,$C$23&lt;=0.3,$T$19&gt;0.2,$T$19&lt;=0.3)</formula>
    </cfRule>
  </conditionalFormatting>
  <conditionalFormatting sqref="H17">
    <cfRule type="expression" dxfId="72" priority="30">
      <formula>AND($C$23&gt;0.1,$C$23&lt;=0.2,$T$19&gt;0.2,$T$19&lt;=0.3)</formula>
    </cfRule>
  </conditionalFormatting>
  <conditionalFormatting sqref="I17">
    <cfRule type="expression" dxfId="71" priority="40">
      <formula>AND($C$23&gt;0.1,$C$23&lt;=0.2,$T$19&gt;0.3,$T$19&lt;=0.4)</formula>
    </cfRule>
  </conditionalFormatting>
  <conditionalFormatting sqref="I16">
    <cfRule type="expression" dxfId="70" priority="39">
      <formula>AND($C$23&gt;0.2,$C$23&lt;=0.3,$T$19&gt;0.3,$T$19&lt;=0.4)</formula>
    </cfRule>
  </conditionalFormatting>
  <conditionalFormatting sqref="I15">
    <cfRule type="expression" dxfId="69" priority="38">
      <formula>AND($C$23&gt;0.3,$C$23&lt;=0.4,$T$19&gt;0.3,$T$19&lt;=0.4)</formula>
    </cfRule>
  </conditionalFormatting>
  <conditionalFormatting sqref="I14">
    <cfRule type="expression" dxfId="68" priority="37">
      <formula>AND($C$23&gt;0.4,$C$23&lt;=0.5,$T$19&gt;0.3,$T$19&lt;=0.4)</formula>
    </cfRule>
  </conditionalFormatting>
  <conditionalFormatting sqref="I13">
    <cfRule type="expression" dxfId="67" priority="36">
      <formula>AND($C$23&gt;0.5,$C$23&lt;=0.6,$T$19&gt;0.3,$T$19&lt;=0.4)</formula>
    </cfRule>
  </conditionalFormatting>
  <conditionalFormatting sqref="I12">
    <cfRule type="expression" dxfId="66" priority="35">
      <formula>AND($C$23&gt;0.6,$C$23&lt;=0.7,$T$19&gt;0.3,$T$19&lt;=0.4)</formula>
    </cfRule>
  </conditionalFormatting>
  <conditionalFormatting sqref="I11">
    <cfRule type="expression" dxfId="65" priority="34">
      <formula>AND($C$23&gt;0.7,$C$23&lt;=0.8,$T$19&gt;0.3,$T$19&lt;=0.4)</formula>
    </cfRule>
  </conditionalFormatting>
  <conditionalFormatting sqref="I10">
    <cfRule type="expression" dxfId="64" priority="33">
      <formula>AND($C$23&gt;0.8,$C$23&lt;=0.9,$T$19&gt;0.3,$T$19&lt;=0.4)</formula>
    </cfRule>
  </conditionalFormatting>
  <conditionalFormatting sqref="J10">
    <cfRule type="expression" dxfId="63" priority="43">
      <formula>AND($C$23&gt;0.8,$C$23&lt;=0.9,$T$19&gt;0.4,$T$19&lt;=0.5)</formula>
    </cfRule>
  </conditionalFormatting>
  <conditionalFormatting sqref="J11">
    <cfRule type="expression" dxfId="62" priority="44">
      <formula>AND($C$23&gt;0.7,$C$23&lt;=0.8,$T$19&gt;0.4,$T$19&lt;=0.5)</formula>
    </cfRule>
  </conditionalFormatting>
  <conditionalFormatting sqref="J12">
    <cfRule type="expression" dxfId="61" priority="45">
      <formula>AND($C$23&gt;0.6,$C$23&lt;=0.7,$T$19&gt;0.4,$T$19&lt;=0.5)</formula>
    </cfRule>
  </conditionalFormatting>
  <conditionalFormatting sqref="J13">
    <cfRule type="expression" dxfId="60" priority="46">
      <formula>AND($C$23&gt;0.5,$C$23&lt;=0.6,$T$19&gt;0.4,$T$19&lt;=0.5)</formula>
    </cfRule>
  </conditionalFormatting>
  <conditionalFormatting sqref="J14">
    <cfRule type="expression" dxfId="59" priority="47">
      <formula>AND($C$23&gt;0.4,$C$23&lt;=0.5,$T$19&gt;0.4,$T$19&lt;=0.5)</formula>
    </cfRule>
  </conditionalFormatting>
  <conditionalFormatting sqref="J15">
    <cfRule type="expression" dxfId="58" priority="48">
      <formula>AND($C$23&gt;0.3,$C$23&lt;=0.4,$T$19&gt;0.4,$T$19&lt;=0.5)</formula>
    </cfRule>
  </conditionalFormatting>
  <conditionalFormatting sqref="J16">
    <cfRule type="expression" dxfId="57" priority="49">
      <formula>AND($C$23&gt;0.2,$C$23&lt;=0.3,$T$19&gt;0.4,$T$19&lt;=0.5)</formula>
    </cfRule>
  </conditionalFormatting>
  <conditionalFormatting sqref="J17">
    <cfRule type="expression" dxfId="56" priority="50">
      <formula>AND($C$23&gt;0.1,$C$23&lt;=0.2,$T$19&gt;0.4,$T$19&lt;=0.5)</formula>
    </cfRule>
  </conditionalFormatting>
  <conditionalFormatting sqref="K17">
    <cfRule type="expression" dxfId="55" priority="60">
      <formula>AND($C$23&gt;0.1,$C$23&lt;=0.2,$T$19&gt;0.5,$T$19&lt;=0.6)</formula>
    </cfRule>
  </conditionalFormatting>
  <conditionalFormatting sqref="K16">
    <cfRule type="expression" dxfId="54" priority="59">
      <formula>AND($C$23&gt;0.2,$C$23&lt;=0.3,$T$19&gt;0.5,$T$19&lt;=0.6)</formula>
    </cfRule>
  </conditionalFormatting>
  <conditionalFormatting sqref="K15">
    <cfRule type="expression" dxfId="53" priority="58">
      <formula>AND($C$23&gt;0.3,$C$23&lt;=0.4,$T$19&gt;0.5,$T$19&lt;=0.6)</formula>
    </cfRule>
  </conditionalFormatting>
  <conditionalFormatting sqref="K14">
    <cfRule type="expression" dxfId="52" priority="57">
      <formula>AND($C$23&gt;0.4,$C$23&lt;=0.5,$T$19&gt;0.5,$T$19&lt;=0.6)</formula>
    </cfRule>
  </conditionalFormatting>
  <conditionalFormatting sqref="K13">
    <cfRule type="expression" dxfId="51" priority="56">
      <formula>AND($C$23&gt;0.5,$C$23&lt;=0.6,$T$19&gt;0.5,$T$19&lt;=0.6)</formula>
    </cfRule>
  </conditionalFormatting>
  <conditionalFormatting sqref="K12">
    <cfRule type="expression" dxfId="50" priority="55">
      <formula>AND($C$23&gt;0.6,$C$23&lt;=0.7,$T$19&gt;0.5,$T$19&lt;=0.6)</formula>
    </cfRule>
  </conditionalFormatting>
  <conditionalFormatting sqref="K11">
    <cfRule type="expression" dxfId="49" priority="54">
      <formula>AND($C$23&gt;0.7,$C$23&lt;=0.8,$T$19&gt;0.5,$T$19&lt;=0.6)</formula>
    </cfRule>
  </conditionalFormatting>
  <conditionalFormatting sqref="K10">
    <cfRule type="expression" dxfId="48" priority="53">
      <formula>AND($C$23&gt;0.8,$C$23&lt;=0.9,$T$19&gt;0.5,$T$19&lt;=0.6)</formula>
    </cfRule>
  </conditionalFormatting>
  <conditionalFormatting sqref="L10">
    <cfRule type="expression" dxfId="47" priority="63">
      <formula>AND($C$23&gt;0.8,$C$23&lt;=0.9,$T$19&gt;0.6,$T$19&lt;=0.7)</formula>
    </cfRule>
  </conditionalFormatting>
  <conditionalFormatting sqref="L11">
    <cfRule type="expression" dxfId="46" priority="64">
      <formula>AND($C$23&gt;0.7,$C$23&lt;=0.8,$T$19&gt;0.6,$T$19&lt;=0.7)</formula>
    </cfRule>
  </conditionalFormatting>
  <conditionalFormatting sqref="L13">
    <cfRule type="expression" dxfId="45" priority="66">
      <formula>AND($C$23&gt;0.5,$C$23&lt;=0.6,$T$19&gt;0.6,$T$19&lt;=0.7)</formula>
    </cfRule>
  </conditionalFormatting>
  <conditionalFormatting sqref="L14">
    <cfRule type="expression" dxfId="44" priority="67">
      <formula>AND($C$23&gt;0.4,$C$23&lt;=0.5,$T$19&gt;0.6,$T$19&lt;=0.7)</formula>
    </cfRule>
  </conditionalFormatting>
  <conditionalFormatting sqref="L15">
    <cfRule type="expression" dxfId="43" priority="68">
      <formula>AND($C$23&gt;0.3,$C$23&lt;=0.4,$T$19&gt;0.6,$T$19&lt;=0.7)</formula>
    </cfRule>
  </conditionalFormatting>
  <conditionalFormatting sqref="L16">
    <cfRule type="expression" dxfId="42" priority="69">
      <formula>AND($C$23&gt;0.2,$C$23&lt;=0.3,$T$19&gt;0.6,$T$19&lt;=0.7)</formula>
    </cfRule>
  </conditionalFormatting>
  <conditionalFormatting sqref="L17">
    <cfRule type="expression" dxfId="41" priority="70">
      <formula>AND($C$23&gt;0.1,$C$23&lt;=0.2,$T$19&gt;0.6,$T$19&lt;=0.7)</formula>
    </cfRule>
  </conditionalFormatting>
  <conditionalFormatting sqref="M17">
    <cfRule type="expression" dxfId="40" priority="80">
      <formula>AND($C$23&gt;0.1,$C$23&lt;=0.2,$T$19&gt;0.7,$T$19&lt;=0.8)</formula>
    </cfRule>
  </conditionalFormatting>
  <conditionalFormatting sqref="M16">
    <cfRule type="expression" dxfId="39" priority="79">
      <formula>AND($C$23&gt;0.2,$C$23&lt;=0.3,$T$19&gt;0.7,$T$19&lt;=0.8)</formula>
    </cfRule>
  </conditionalFormatting>
  <conditionalFormatting sqref="M15">
    <cfRule type="expression" dxfId="38" priority="78">
      <formula>AND($C$23&gt;0.3,$C$23&lt;=0.4,$T$19&gt;0.7,$T$19&lt;=0.8)</formula>
    </cfRule>
  </conditionalFormatting>
  <conditionalFormatting sqref="M14">
    <cfRule type="expression" dxfId="37" priority="77">
      <formula>AND($C$23&gt;0.4,$C$23&lt;=0.5,$T$19&gt;0.7,$T$19&lt;=0.8)</formula>
    </cfRule>
  </conditionalFormatting>
  <conditionalFormatting sqref="M13">
    <cfRule type="expression" dxfId="36" priority="76">
      <formula>AND($C$23&gt;0.5,$C$23&lt;=0.6,$T$19&gt;0.7,$T$19&lt;=0.8)</formula>
    </cfRule>
  </conditionalFormatting>
  <conditionalFormatting sqref="M12">
    <cfRule type="expression" dxfId="35" priority="75">
      <formula>AND($C$23&gt;0.6,$C$23&lt;=0.7,$T$19&gt;0.7,$T$19&lt;=0.8)</formula>
    </cfRule>
  </conditionalFormatting>
  <conditionalFormatting sqref="M11">
    <cfRule type="expression" dxfId="34" priority="74">
      <formula>AND($C$23&gt;0.7,$C$23&lt;=0.8,$T$19&gt;0.7,$T$19&lt;=0.8)</formula>
    </cfRule>
  </conditionalFormatting>
  <conditionalFormatting sqref="M10">
    <cfRule type="expression" dxfId="33" priority="73">
      <formula>AND($C$23&gt;0.8,$C$23&lt;=0.9,$T$19&gt;0.7,$T$19&lt;=0.8)</formula>
    </cfRule>
  </conditionalFormatting>
  <conditionalFormatting sqref="N10">
    <cfRule type="expression" dxfId="32" priority="83">
      <formula>AND($C$23&gt;0.8,$C$23&lt;=0.9,$T$19&gt;0.8,$T$19&lt;=0.9)</formula>
    </cfRule>
  </conditionalFormatting>
  <conditionalFormatting sqref="N11">
    <cfRule type="expression" dxfId="31" priority="84">
      <formula>AND($C$23&gt;0.7,$C$23&lt;=0.8,$T$19&gt;0.8,$T$19&lt;=0.9)</formula>
    </cfRule>
  </conditionalFormatting>
  <conditionalFormatting sqref="N12">
    <cfRule type="expression" dxfId="30" priority="85">
      <formula>AND($C$23&gt;0.6,$C$23&lt;=0.7,$T$19&gt;0.8,$T$19&lt;=0.9)</formula>
    </cfRule>
  </conditionalFormatting>
  <conditionalFormatting sqref="N13">
    <cfRule type="expression" dxfId="29" priority="86">
      <formula>AND($C$23&gt;0.5,$C$23&lt;=0.6,$T$19&gt;0.8,$T$19&lt;=0.9)</formula>
    </cfRule>
  </conditionalFormatting>
  <conditionalFormatting sqref="N14">
    <cfRule type="expression" dxfId="28" priority="87">
      <formula>AND($C$23&gt;0.4,$C$23&lt;=0.5,$T$19&gt;0.8,$T$19&lt;=0.9)</formula>
    </cfRule>
  </conditionalFormatting>
  <conditionalFormatting sqref="N15">
    <cfRule type="expression" dxfId="27" priority="88">
      <formula>AND($C$23&gt;0.3,$C$23&lt;=0.4,$T$19&gt;0.8,$T$19&lt;=0.9)</formula>
    </cfRule>
  </conditionalFormatting>
  <conditionalFormatting sqref="N16">
    <cfRule type="expression" dxfId="26" priority="89">
      <formula>AND($C$23&gt;0.2,$C$23&lt;=0.3,$T$19&gt;0.8,$T$19&lt;=0.9)</formula>
    </cfRule>
  </conditionalFormatting>
  <conditionalFormatting sqref="N17">
    <cfRule type="expression" dxfId="25" priority="90">
      <formula>AND($C$23&gt;0.1,$C$23&lt;=0.2,$T$19&gt;0.8,$T$19&lt;=0.9)</formula>
    </cfRule>
  </conditionalFormatting>
  <conditionalFormatting sqref="G17">
    <cfRule type="expression" dxfId="24" priority="20">
      <formula>AND($C$23&gt;0.1,$C$23&lt;=0.2,$T$19&gt;0.1,$T$19&lt;=0.2)</formula>
    </cfRule>
  </conditionalFormatting>
  <conditionalFormatting sqref="L12">
    <cfRule type="expression" dxfId="23" priority="1">
      <formula>AND($C$23&gt;0.8,$C$23&lt;=0.9,$T$19&gt;0.6,$T$19&lt;=0.7)</formula>
    </cfRule>
  </conditionalFormatting>
  <pageMargins left="0.59055118110236227" right="0.59055118110236227" top="0.94488188976377963" bottom="0.86250000000000004" header="0.31496062992125984" footer="0.31496062992125984"/>
  <pageSetup scale="45" fitToHeight="0" orientation="landscape" horizontalDpi="4294967293" r:id="rId1"/>
  <headerFooter>
    <oddHeader>&amp;L&amp;"Palatino Linotype,Negrita"&amp;18
Matriz de Mejores prácticas vs Desempeño&amp;C&amp;"Palatino Linotype,Negrita"&amp;24Programa Fábricas de Productividad
&amp;20Guía para el diagnóstico general de la Empresa&amp;R&amp;G</oddHeader>
    <oddFooter>&amp;L&amp;"Palatino Linotype,Normal"&amp;G
&amp;"Palatino Linotype,Cursiva"© Colombia Productiva&amp;C&amp;G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colBreaks count="1" manualBreakCount="1">
    <brk id="20" max="1048575" man="1"/>
  </colBreaks>
  <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D19C-38B9-456C-A429-1E2B523853C1}">
  <sheetPr>
    <tabColor rgb="FFFF0000"/>
  </sheetPr>
  <dimension ref="A1:W127"/>
  <sheetViews>
    <sheetView showGridLines="0" topLeftCell="B11" zoomScale="80" zoomScaleNormal="80" zoomScalePageLayoutView="60" workbookViewId="0">
      <selection activeCell="E11" sqref="E11"/>
    </sheetView>
  </sheetViews>
  <sheetFormatPr baseColWidth="10" defaultColWidth="1" defaultRowHeight="17" x14ac:dyDescent="0.35"/>
  <cols>
    <col min="1" max="1" width="4.7265625" style="256" customWidth="1"/>
    <col min="2" max="2" width="17.7265625" style="256" customWidth="1"/>
    <col min="3" max="4" width="33.26953125" style="256" customWidth="1"/>
    <col min="5" max="5" width="20.26953125" style="631" bestFit="1" customWidth="1"/>
    <col min="6" max="9" width="21.26953125" style="256" customWidth="1"/>
    <col min="10" max="12" width="10" style="256" customWidth="1"/>
    <col min="13" max="13" width="50.26953125" style="256" customWidth="1"/>
    <col min="14" max="14" width="7.54296875" style="256" customWidth="1"/>
    <col min="15" max="15" width="14.453125" style="256" bestFit="1" customWidth="1"/>
    <col min="16" max="16" width="10.7265625" style="256" bestFit="1" customWidth="1"/>
    <col min="17" max="17" width="14.54296875" style="256" customWidth="1"/>
    <col min="18" max="18" width="20.1796875" style="823" bestFit="1" customWidth="1"/>
    <col min="19" max="19" width="10.453125" style="256" customWidth="1"/>
    <col min="20" max="20" width="17.1796875" style="256" customWidth="1"/>
    <col min="21" max="21" width="10.7265625" style="256" bestFit="1" customWidth="1"/>
    <col min="22" max="22" width="10.81640625" style="256" customWidth="1"/>
    <col min="23" max="23" width="20.1796875" style="256" bestFit="1" customWidth="1"/>
    <col min="24" max="16384" width="1" style="256"/>
  </cols>
  <sheetData>
    <row r="1" spans="1:23" ht="40.15" customHeight="1" x14ac:dyDescent="0.35">
      <c r="A1" s="1097" t="s">
        <v>20</v>
      </c>
      <c r="B1" s="1098" t="s">
        <v>21</v>
      </c>
      <c r="C1" s="1099" t="s">
        <v>22</v>
      </c>
      <c r="D1" s="1098" t="s">
        <v>23</v>
      </c>
      <c r="E1" s="1099" t="s">
        <v>24</v>
      </c>
      <c r="F1" s="1099"/>
      <c r="G1" s="1099"/>
      <c r="H1" s="1099"/>
      <c r="I1" s="1099"/>
      <c r="J1" s="1100" t="s">
        <v>25</v>
      </c>
      <c r="K1" s="1100"/>
      <c r="L1" s="1100"/>
      <c r="M1" s="1077" t="str">
        <f>+'9'!M1:M2</f>
        <v>Observaciones generales  y/o afectaciones derivadas de la emergencia sanitaria COVID-19</v>
      </c>
    </row>
    <row r="2" spans="1:23" ht="33" customHeight="1" x14ac:dyDescent="0.35">
      <c r="A2" s="1097"/>
      <c r="B2" s="1098"/>
      <c r="C2" s="1099"/>
      <c r="D2" s="1098"/>
      <c r="E2" s="613">
        <v>1</v>
      </c>
      <c r="F2" s="614">
        <v>2</v>
      </c>
      <c r="G2" s="615">
        <v>3</v>
      </c>
      <c r="H2" s="616">
        <v>4</v>
      </c>
      <c r="I2" s="617">
        <v>5</v>
      </c>
      <c r="J2" s="772">
        <v>2022</v>
      </c>
      <c r="K2" s="772">
        <v>2023</v>
      </c>
      <c r="L2" s="772">
        <v>2024</v>
      </c>
      <c r="M2" s="1078"/>
    </row>
    <row r="3" spans="1:23" ht="17.5" customHeight="1" x14ac:dyDescent="0.35">
      <c r="A3" s="1079">
        <v>1</v>
      </c>
      <c r="B3" s="1082" t="s">
        <v>799</v>
      </c>
      <c r="C3" s="1085" t="s">
        <v>800</v>
      </c>
      <c r="D3" s="618"/>
      <c r="E3" s="554"/>
      <c r="F3" s="554"/>
      <c r="G3" s="554"/>
      <c r="H3" s="554"/>
      <c r="I3" s="554" t="s">
        <v>46</v>
      </c>
      <c r="J3" s="619">
        <v>5</v>
      </c>
      <c r="K3" s="619">
        <v>5</v>
      </c>
      <c r="L3" s="619">
        <v>5</v>
      </c>
      <c r="M3" s="1088"/>
      <c r="R3" s="823">
        <f>IF(E3&lt;&gt;"",1,IF(F3&lt;&gt;"",2,IF(G3&lt;&gt;"",3,IF(H3&lt;&gt;"",4,IF(I3&lt;&gt;"",5,"NA")))))</f>
        <v>5</v>
      </c>
    </row>
    <row r="4" spans="1:23" ht="19.899999999999999" customHeight="1" x14ac:dyDescent="0.35">
      <c r="A4" s="1080"/>
      <c r="B4" s="1083"/>
      <c r="C4" s="1086"/>
      <c r="D4" s="874" t="s">
        <v>41</v>
      </c>
      <c r="E4" s="620">
        <v>2016</v>
      </c>
      <c r="F4" s="620">
        <f>+E4+1</f>
        <v>2017</v>
      </c>
      <c r="G4" s="620">
        <f t="shared" ref="G4:I4" si="0">+F4+1</f>
        <v>2018</v>
      </c>
      <c r="H4" s="620">
        <f t="shared" si="0"/>
        <v>2019</v>
      </c>
      <c r="I4" s="620">
        <f t="shared" si="0"/>
        <v>2020</v>
      </c>
      <c r="J4" s="619"/>
      <c r="K4" s="619"/>
      <c r="L4" s="619"/>
      <c r="M4" s="1089"/>
    </row>
    <row r="5" spans="1:23" ht="19.899999999999999" customHeight="1" x14ac:dyDescent="0.35">
      <c r="A5" s="1080"/>
      <c r="B5" s="1083"/>
      <c r="C5" s="1086"/>
      <c r="D5" s="618" t="s">
        <v>801</v>
      </c>
      <c r="E5" s="862">
        <f>VLOOKUP(Indice!$W$17&amp;DF!$E4,SIREM!$B$2:$Q$1961,15,FALSE)</f>
        <v>5.0810593603990102E-2</v>
      </c>
      <c r="F5" s="862">
        <f>VLOOKUP(Indice!$W$17&amp;DF!$F4,SIREM!$B$2:$Q$1961,15,FALSE)</f>
        <v>3.7397305059623659E-2</v>
      </c>
      <c r="G5" s="862">
        <f>VLOOKUP(Indice!$W$17&amp;DF!$G4,SIREM!$B$2:$Q$1961,15,FALSE)</f>
        <v>2.5367574032202678E-2</v>
      </c>
      <c r="H5" s="862">
        <f>VLOOKUP(Indice!$W$17&amp;DF!$H4,SIREM!$B$2:$Q$1961,15,FALSE)</f>
        <v>4.1239290165855022E-2</v>
      </c>
      <c r="I5" s="621"/>
      <c r="J5" s="619"/>
      <c r="K5" s="619"/>
      <c r="L5" s="619"/>
      <c r="M5" s="1089"/>
    </row>
    <row r="6" spans="1:23" ht="19.899999999999999" customHeight="1" x14ac:dyDescent="0.35">
      <c r="A6" s="1080"/>
      <c r="B6" s="1083"/>
      <c r="C6" s="1086"/>
      <c r="D6" s="618" t="s">
        <v>802</v>
      </c>
      <c r="E6" s="1091">
        <f>IFERROR(AVERAGE(E5:I5),0)</f>
        <v>3.8703690715417863E-2</v>
      </c>
      <c r="F6" s="1092"/>
      <c r="G6" s="1092"/>
      <c r="H6" s="1092"/>
      <c r="I6" s="1093"/>
      <c r="J6" s="619"/>
      <c r="K6" s="619"/>
      <c r="L6" s="619"/>
      <c r="M6" s="1089"/>
    </row>
    <row r="7" spans="1:23" ht="62.5" customHeight="1" x14ac:dyDescent="0.35">
      <c r="A7" s="1080"/>
      <c r="B7" s="1083"/>
      <c r="C7" s="1086"/>
      <c r="D7" s="618" t="s">
        <v>803</v>
      </c>
      <c r="E7" s="834">
        <f>(68/120)</f>
        <v>0.56666666666666665</v>
      </c>
      <c r="F7" s="834">
        <f>(20/50)</f>
        <v>0.4</v>
      </c>
      <c r="G7" s="834">
        <f>(30/50)</f>
        <v>0.6</v>
      </c>
      <c r="H7" s="834">
        <f>(40/100)</f>
        <v>0.4</v>
      </c>
      <c r="I7" s="622"/>
      <c r="J7" s="619"/>
      <c r="K7" s="619"/>
      <c r="L7" s="619"/>
      <c r="M7" s="1089"/>
    </row>
    <row r="8" spans="1:23" ht="21" customHeight="1" x14ac:dyDescent="0.35">
      <c r="A8" s="1080"/>
      <c r="B8" s="1083"/>
      <c r="C8" s="1086"/>
      <c r="D8" s="618" t="s">
        <v>804</v>
      </c>
      <c r="E8" s="1102">
        <f>IFERROR(AVERAGE(E7:I7),0)</f>
        <v>0.4916666666666667</v>
      </c>
      <c r="F8" s="1103"/>
      <c r="G8" s="1103"/>
      <c r="H8" s="1103"/>
      <c r="I8" s="1104"/>
      <c r="J8" s="619"/>
      <c r="K8" s="619"/>
      <c r="L8" s="619"/>
      <c r="M8" s="1089"/>
    </row>
    <row r="9" spans="1:23" ht="77.5" customHeight="1" thickBot="1" x14ac:dyDescent="0.4">
      <c r="A9" s="1080"/>
      <c r="B9" s="1083"/>
      <c r="C9" s="1087"/>
      <c r="D9" s="618" t="s">
        <v>805</v>
      </c>
      <c r="E9" s="794" t="s">
        <v>806</v>
      </c>
      <c r="F9" s="794" t="s">
        <v>807</v>
      </c>
      <c r="G9" s="794"/>
      <c r="H9" s="794" t="s">
        <v>808</v>
      </c>
      <c r="I9" s="794" t="s">
        <v>809</v>
      </c>
      <c r="J9" s="623"/>
      <c r="K9" s="623"/>
      <c r="L9" s="623"/>
      <c r="M9" s="1090"/>
    </row>
    <row r="10" spans="1:23" ht="17.5" customHeight="1" thickBot="1" x14ac:dyDescent="0.4">
      <c r="A10" s="1080"/>
      <c r="B10" s="1083"/>
      <c r="C10" s="1085" t="s">
        <v>810</v>
      </c>
      <c r="D10" s="1094" t="s">
        <v>811</v>
      </c>
      <c r="E10" s="554" t="s">
        <v>46</v>
      </c>
      <c r="F10" s="554"/>
      <c r="G10" s="554"/>
      <c r="H10" s="554"/>
      <c r="I10" s="554"/>
      <c r="J10" s="619">
        <v>2</v>
      </c>
      <c r="K10" s="619">
        <v>3</v>
      </c>
      <c r="L10" s="619">
        <v>4</v>
      </c>
      <c r="M10" s="1095"/>
      <c r="N10" s="1107" t="s">
        <v>812</v>
      </c>
      <c r="O10" s="865" t="s">
        <v>813</v>
      </c>
      <c r="P10" s="869" t="s">
        <v>814</v>
      </c>
      <c r="Q10" s="866" t="s">
        <v>815</v>
      </c>
      <c r="R10" s="866" t="s">
        <v>816</v>
      </c>
      <c r="S10" s="1109" t="s">
        <v>817</v>
      </c>
      <c r="T10" s="865" t="s">
        <v>813</v>
      </c>
      <c r="U10" s="869" t="s">
        <v>814</v>
      </c>
      <c r="V10" s="866" t="s">
        <v>815</v>
      </c>
      <c r="W10" s="866" t="s">
        <v>816</v>
      </c>
    </row>
    <row r="11" spans="1:23" ht="139.5" customHeight="1" thickBot="1" x14ac:dyDescent="0.4">
      <c r="A11" s="1081"/>
      <c r="B11" s="1084"/>
      <c r="C11" s="1087"/>
      <c r="D11" s="1094"/>
      <c r="E11" s="794" t="s">
        <v>818</v>
      </c>
      <c r="F11" s="794"/>
      <c r="G11" s="794" t="s">
        <v>819</v>
      </c>
      <c r="H11" s="794"/>
      <c r="I11" s="794" t="s">
        <v>820</v>
      </c>
      <c r="J11" s="623"/>
      <c r="K11" s="623"/>
      <c r="L11" s="623"/>
      <c r="M11" s="1096"/>
      <c r="N11" s="1108"/>
      <c r="O11" s="863">
        <f>+E5</f>
        <v>5.0810593603990102E-2</v>
      </c>
      <c r="P11" s="867">
        <f>+H5</f>
        <v>4.1239290165855022E-2</v>
      </c>
      <c r="Q11" s="868">
        <f>COUNT(E5:I5)</f>
        <v>4</v>
      </c>
      <c r="R11" s="870">
        <f>((P11/O11)*(1/Q11))</f>
        <v>0.20290694932275177</v>
      </c>
      <c r="S11" s="1110"/>
      <c r="T11" s="863">
        <f>+E7</f>
        <v>0.56666666666666665</v>
      </c>
      <c r="U11" s="867">
        <f>+H7</f>
        <v>0.4</v>
      </c>
      <c r="V11" s="868">
        <f>COUNT(E7:I7)</f>
        <v>4</v>
      </c>
      <c r="W11" s="864">
        <f>((U11/T11)*(1/V11))</f>
        <v>0.17647058823529413</v>
      </c>
    </row>
    <row r="12" spans="1:23" x14ac:dyDescent="0.35">
      <c r="A12" s="1079">
        <v>2</v>
      </c>
      <c r="B12" s="1082" t="s">
        <v>821</v>
      </c>
      <c r="C12" s="1113" t="s">
        <v>822</v>
      </c>
      <c r="D12" s="618"/>
      <c r="E12" s="554"/>
      <c r="F12" s="554"/>
      <c r="G12" s="554"/>
      <c r="H12" s="554"/>
      <c r="I12" s="554" t="s">
        <v>46</v>
      </c>
      <c r="J12" s="619">
        <v>4</v>
      </c>
      <c r="K12" s="619">
        <v>5</v>
      </c>
      <c r="L12" s="619">
        <v>5</v>
      </c>
      <c r="M12" s="1105"/>
      <c r="R12" s="823">
        <f>IF(E12&lt;&gt;"",1,IF(F12&lt;&gt;"",2,IF(G12&lt;&gt;"",3,IF(H12&lt;&gt;"",4,IF(I12&lt;&gt;"",5,"NA")))))</f>
        <v>5</v>
      </c>
    </row>
    <row r="13" spans="1:23" ht="19.899999999999999" customHeight="1" x14ac:dyDescent="0.35">
      <c r="A13" s="1080"/>
      <c r="B13" s="1083"/>
      <c r="C13" s="1114"/>
      <c r="D13" s="624" t="s">
        <v>41</v>
      </c>
      <c r="E13" s="620">
        <v>2016</v>
      </c>
      <c r="F13" s="620">
        <f>+E13+1</f>
        <v>2017</v>
      </c>
      <c r="G13" s="620">
        <f t="shared" ref="G13:I13" si="1">+F13+1</f>
        <v>2018</v>
      </c>
      <c r="H13" s="620">
        <f t="shared" si="1"/>
        <v>2019</v>
      </c>
      <c r="I13" s="620">
        <f t="shared" si="1"/>
        <v>2020</v>
      </c>
      <c r="J13" s="619"/>
      <c r="K13" s="619"/>
      <c r="L13" s="619"/>
      <c r="M13" s="1115"/>
    </row>
    <row r="14" spans="1:23" ht="37.15" customHeight="1" x14ac:dyDescent="0.35">
      <c r="A14" s="1080"/>
      <c r="B14" s="1083"/>
      <c r="C14" s="1114"/>
      <c r="D14" s="618" t="s">
        <v>823</v>
      </c>
      <c r="E14" s="862">
        <f>VLOOKUP(Indice!$W$17&amp;DF!$E13,SIREM!$B$2:$Q$1961,14,FALSE)</f>
        <v>0.11553150166870721</v>
      </c>
      <c r="F14" s="862">
        <f>VLOOKUP(Indice!$W$17&amp;DF!$F13,SIREM!$B$2:$Q$1961,14,FALSE)</f>
        <v>0.1066080779272869</v>
      </c>
      <c r="G14" s="862">
        <f>VLOOKUP(Indice!$W$17&amp;DF!$G13,SIREM!$B$2:$Q$1961,14,FALSE)</f>
        <v>6.1022616190759292E-2</v>
      </c>
      <c r="H14" s="862">
        <f>VLOOKUP(Indice!$W$17&amp;DF!$H13,SIREM!$B$2:$Q$1961,14,FALSE)</f>
        <v>7.800968933649248E-2</v>
      </c>
      <c r="I14" s="621"/>
      <c r="J14" s="619"/>
      <c r="K14" s="619"/>
      <c r="L14" s="619"/>
      <c r="M14" s="1115"/>
    </row>
    <row r="15" spans="1:23" ht="36" customHeight="1" x14ac:dyDescent="0.35">
      <c r="A15" s="1080"/>
      <c r="B15" s="1083"/>
      <c r="C15" s="1114"/>
      <c r="D15" s="618" t="s">
        <v>824</v>
      </c>
      <c r="E15" s="1091">
        <f>IFERROR(AVERAGE(E14:I14),0)</f>
        <v>9.0292971280811471E-2</v>
      </c>
      <c r="F15" s="1092"/>
      <c r="G15" s="1092"/>
      <c r="H15" s="1092"/>
      <c r="I15" s="1093"/>
      <c r="J15" s="619"/>
      <c r="K15" s="619"/>
      <c r="L15" s="619"/>
      <c r="M15" s="1115"/>
    </row>
    <row r="16" spans="1:23" ht="64.5" customHeight="1" x14ac:dyDescent="0.35">
      <c r="A16" s="1080"/>
      <c r="B16" s="1083"/>
      <c r="C16" s="1114"/>
      <c r="D16" s="618" t="s">
        <v>825</v>
      </c>
      <c r="E16" s="622"/>
      <c r="F16" s="622"/>
      <c r="G16" s="622"/>
      <c r="H16" s="622"/>
      <c r="I16" s="622"/>
      <c r="J16" s="619"/>
      <c r="K16" s="619"/>
      <c r="L16" s="619"/>
      <c r="M16" s="1115"/>
    </row>
    <row r="17" spans="1:18" ht="27" customHeight="1" x14ac:dyDescent="0.35">
      <c r="A17" s="1080"/>
      <c r="B17" s="1083"/>
      <c r="C17" s="1114"/>
      <c r="D17" s="618" t="s">
        <v>804</v>
      </c>
      <c r="E17" s="1102">
        <f>IFERROR(AVERAGE(E16:I16),0)</f>
        <v>0</v>
      </c>
      <c r="F17" s="1103"/>
      <c r="G17" s="1103"/>
      <c r="H17" s="1103"/>
      <c r="I17" s="1104"/>
      <c r="J17" s="619"/>
      <c r="K17" s="619"/>
      <c r="L17" s="619"/>
      <c r="M17" s="1115"/>
    </row>
    <row r="18" spans="1:18" ht="85.15" customHeight="1" x14ac:dyDescent="0.35">
      <c r="A18" s="1080"/>
      <c r="B18" s="1083"/>
      <c r="C18" s="1114"/>
      <c r="D18" s="618" t="s">
        <v>826</v>
      </c>
      <c r="E18" s="794" t="s">
        <v>827</v>
      </c>
      <c r="F18" s="794" t="s">
        <v>828</v>
      </c>
      <c r="G18" s="794"/>
      <c r="H18" s="794" t="s">
        <v>829</v>
      </c>
      <c r="I18" s="794" t="s">
        <v>830</v>
      </c>
      <c r="J18" s="623"/>
      <c r="K18" s="623"/>
      <c r="L18" s="623"/>
      <c r="M18" s="1106"/>
    </row>
    <row r="19" spans="1:18" ht="19.899999999999999" customHeight="1" x14ac:dyDescent="0.35">
      <c r="A19" s="1079">
        <v>3</v>
      </c>
      <c r="B19" s="1082" t="s">
        <v>795</v>
      </c>
      <c r="C19" s="1085" t="s">
        <v>831</v>
      </c>
      <c r="D19" s="794"/>
      <c r="E19" s="554" t="s">
        <v>46</v>
      </c>
      <c r="F19" s="554"/>
      <c r="G19" s="554"/>
      <c r="H19" s="554"/>
      <c r="I19" s="554" t="s">
        <v>46</v>
      </c>
      <c r="J19" s="619">
        <v>5</v>
      </c>
      <c r="K19" s="619">
        <v>5</v>
      </c>
      <c r="L19" s="619">
        <v>5</v>
      </c>
      <c r="M19" s="1105"/>
      <c r="R19" s="823">
        <f>IF(E19&lt;&gt;"",1,IF(F19&lt;&gt;"",2,IF(G19&lt;&gt;"",3,IF(H19&lt;&gt;"",4,IF(I19&lt;&gt;"",5,"NA")))))</f>
        <v>1</v>
      </c>
    </row>
    <row r="20" spans="1:18" ht="21" customHeight="1" x14ac:dyDescent="0.35">
      <c r="A20" s="1080"/>
      <c r="B20" s="1083"/>
      <c r="C20" s="1086"/>
      <c r="D20" s="618" t="s">
        <v>41</v>
      </c>
      <c r="E20" s="620">
        <v>2016</v>
      </c>
      <c r="F20" s="620">
        <f>+E20+1</f>
        <v>2017</v>
      </c>
      <c r="G20" s="620">
        <f t="shared" ref="G20:I20" si="2">+F20+1</f>
        <v>2018</v>
      </c>
      <c r="H20" s="620">
        <f t="shared" si="2"/>
        <v>2019</v>
      </c>
      <c r="I20" s="620">
        <f t="shared" si="2"/>
        <v>2020</v>
      </c>
      <c r="J20" s="619"/>
      <c r="K20" s="619"/>
      <c r="L20" s="619"/>
      <c r="M20" s="1115"/>
    </row>
    <row r="21" spans="1:18" ht="49.9" customHeight="1" x14ac:dyDescent="0.35">
      <c r="A21" s="1080"/>
      <c r="B21" s="1083"/>
      <c r="C21" s="1086"/>
      <c r="D21" s="618" t="s">
        <v>832</v>
      </c>
      <c r="E21" s="862">
        <f>VLOOKUP(Indice!$W$17&amp;DF!$E20,SIREM!$B$2:$Q$1961,13,FALSE)</f>
        <v>0.81799614924074171</v>
      </c>
      <c r="F21" s="862">
        <f>VLOOKUP(Indice!$W$17&amp;DF!$F20,SIREM!$B$2:$Q$1961,13,FALSE)</f>
        <v>0.83692760799016053</v>
      </c>
      <c r="G21" s="862">
        <f>VLOOKUP(Indice!$W$17&amp;DF!$G20,SIREM!$B$2:$Q$1961,13,FALSE)</f>
        <v>0.82277739532404115</v>
      </c>
      <c r="H21" s="862">
        <f>VLOOKUP(Indice!$W$17&amp;DF!$H20,SIREM!$B$2:$Q$1961,13,FALSE)</f>
        <v>0.88086112722662779</v>
      </c>
      <c r="I21" s="621"/>
      <c r="J21" s="619"/>
      <c r="K21" s="619"/>
      <c r="L21" s="619"/>
      <c r="M21" s="1115"/>
    </row>
    <row r="22" spans="1:18" ht="45.4" customHeight="1" x14ac:dyDescent="0.35">
      <c r="A22" s="1080"/>
      <c r="B22" s="1083"/>
      <c r="C22" s="1086"/>
      <c r="D22" s="618" t="s">
        <v>833</v>
      </c>
      <c r="E22" s="1091">
        <f>IFERROR(AVERAGE(E21:I21),0)</f>
        <v>0.83964056994539282</v>
      </c>
      <c r="F22" s="1092"/>
      <c r="G22" s="1092"/>
      <c r="H22" s="1092"/>
      <c r="I22" s="1093"/>
      <c r="J22" s="619"/>
      <c r="K22" s="619"/>
      <c r="L22" s="619"/>
      <c r="M22" s="1115"/>
    </row>
    <row r="23" spans="1:18" ht="45.4" customHeight="1" x14ac:dyDescent="0.35">
      <c r="A23" s="1080"/>
      <c r="B23" s="1083"/>
      <c r="C23" s="1086"/>
      <c r="D23" s="618" t="s">
        <v>834</v>
      </c>
      <c r="E23" s="625"/>
      <c r="F23" s="625"/>
      <c r="G23" s="625"/>
      <c r="H23" s="625"/>
      <c r="I23" s="625"/>
      <c r="J23" s="619"/>
      <c r="K23" s="619"/>
      <c r="L23" s="619"/>
      <c r="M23" s="1115"/>
    </row>
    <row r="24" spans="1:18" ht="27.65" customHeight="1" x14ac:dyDescent="0.35">
      <c r="A24" s="1080"/>
      <c r="B24" s="1083"/>
      <c r="C24" s="1086"/>
      <c r="D24" s="618" t="s">
        <v>804</v>
      </c>
      <c r="E24" s="1102">
        <f>IFERROR(AVERAGE(E23:I23),0)</f>
        <v>0</v>
      </c>
      <c r="F24" s="1103"/>
      <c r="G24" s="1103"/>
      <c r="H24" s="1103"/>
      <c r="I24" s="1104"/>
      <c r="J24" s="619"/>
      <c r="K24" s="619"/>
      <c r="L24" s="619"/>
      <c r="M24" s="1115"/>
    </row>
    <row r="25" spans="1:18" ht="74.25" customHeight="1" x14ac:dyDescent="0.35">
      <c r="A25" s="1081"/>
      <c r="B25" s="1084"/>
      <c r="C25" s="1087"/>
      <c r="D25" s="794" t="s">
        <v>835</v>
      </c>
      <c r="E25" s="626" t="s">
        <v>836</v>
      </c>
      <c r="F25" s="794"/>
      <c r="G25" s="627" t="s">
        <v>837</v>
      </c>
      <c r="H25" s="794"/>
      <c r="I25" s="626" t="s">
        <v>838</v>
      </c>
      <c r="J25" s="623"/>
      <c r="K25" s="623"/>
      <c r="L25" s="623"/>
      <c r="M25" s="1106"/>
    </row>
    <row r="26" spans="1:18" ht="17.5" customHeight="1" x14ac:dyDescent="0.35">
      <c r="A26" s="1111">
        <v>4</v>
      </c>
      <c r="B26" s="1082" t="s">
        <v>793</v>
      </c>
      <c r="C26" s="1094" t="s">
        <v>839</v>
      </c>
      <c r="D26" s="1094" t="s">
        <v>840</v>
      </c>
      <c r="E26" s="554"/>
      <c r="F26" s="554"/>
      <c r="G26" s="554" t="s">
        <v>46</v>
      </c>
      <c r="H26" s="554"/>
      <c r="I26" s="554"/>
      <c r="J26" s="619">
        <v>4</v>
      </c>
      <c r="K26" s="619">
        <v>5</v>
      </c>
      <c r="L26" s="619">
        <v>5</v>
      </c>
      <c r="M26" s="1105"/>
      <c r="R26" s="823">
        <f>IF(E26&lt;&gt;"",1,IF(F26&lt;&gt;"",2,IF(G26&lt;&gt;"",3,IF(H26&lt;&gt;"",4,IF(I26&lt;&gt;"",5,"NA")))))</f>
        <v>3</v>
      </c>
    </row>
    <row r="27" spans="1:18" ht="141.65" customHeight="1" x14ac:dyDescent="0.35">
      <c r="A27" s="1112"/>
      <c r="B27" s="1084"/>
      <c r="C27" s="1094"/>
      <c r="D27" s="1094"/>
      <c r="E27" s="794" t="s">
        <v>841</v>
      </c>
      <c r="F27" s="794" t="s">
        <v>842</v>
      </c>
      <c r="G27" s="794" t="s">
        <v>843</v>
      </c>
      <c r="H27" s="794" t="s">
        <v>844</v>
      </c>
      <c r="I27" s="794" t="s">
        <v>845</v>
      </c>
      <c r="J27" s="623"/>
      <c r="K27" s="623"/>
      <c r="L27" s="623"/>
      <c r="M27" s="1106"/>
    </row>
    <row r="28" spans="1:18" x14ac:dyDescent="0.35">
      <c r="A28" s="1079">
        <v>5</v>
      </c>
      <c r="B28" s="1082" t="s">
        <v>846</v>
      </c>
      <c r="C28" s="1094" t="s">
        <v>847</v>
      </c>
      <c r="D28" s="1101"/>
      <c r="E28" s="554"/>
      <c r="F28" s="554"/>
      <c r="G28" s="554"/>
      <c r="H28" s="554"/>
      <c r="I28" s="554"/>
      <c r="J28" s="619">
        <v>5</v>
      </c>
      <c r="K28" s="619">
        <v>5</v>
      </c>
      <c r="L28" s="619">
        <v>5</v>
      </c>
      <c r="M28" s="1105"/>
      <c r="R28" s="823" t="str">
        <f>IF(E28&lt;&gt;"",1,IF(F28&lt;&gt;"",2,IF(G28&lt;&gt;"",3,IF(H28&lt;&gt;"",4,IF(I28&lt;&gt;"",5,"NA")))))</f>
        <v>NA</v>
      </c>
    </row>
    <row r="29" spans="1:18" ht="39" customHeight="1" x14ac:dyDescent="0.35">
      <c r="A29" s="1080"/>
      <c r="B29" s="1083"/>
      <c r="C29" s="1094"/>
      <c r="D29" s="1101"/>
      <c r="E29" s="794" t="s">
        <v>848</v>
      </c>
      <c r="F29" s="794" t="s">
        <v>849</v>
      </c>
      <c r="G29" s="794" t="s">
        <v>132</v>
      </c>
      <c r="H29" s="794" t="s">
        <v>133</v>
      </c>
      <c r="I29" s="794" t="s">
        <v>134</v>
      </c>
      <c r="J29" s="623"/>
      <c r="K29" s="623"/>
      <c r="L29" s="623"/>
      <c r="M29" s="1106"/>
    </row>
    <row r="30" spans="1:18" x14ac:dyDescent="0.35">
      <c r="A30" s="1080"/>
      <c r="B30" s="1083"/>
      <c r="C30" s="1094" t="s">
        <v>850</v>
      </c>
      <c r="D30" s="1101"/>
      <c r="E30" s="628"/>
      <c r="F30" s="629"/>
      <c r="G30" s="629"/>
      <c r="H30" s="629"/>
      <c r="I30" s="629"/>
      <c r="J30" s="619">
        <v>4</v>
      </c>
      <c r="K30" s="619">
        <v>5</v>
      </c>
      <c r="L30" s="619">
        <v>5</v>
      </c>
      <c r="M30" s="1105"/>
      <c r="R30" s="823" t="str">
        <f>IF(E30&lt;&gt;"",1,IF(F30&lt;&gt;"",2,IF(G30&lt;&gt;"",3,IF(H30&lt;&gt;"",4,IF(I30&lt;&gt;"",5,"NA")))))</f>
        <v>NA</v>
      </c>
    </row>
    <row r="31" spans="1:18" ht="25.9" customHeight="1" x14ac:dyDescent="0.35">
      <c r="A31" s="1080"/>
      <c r="B31" s="1083"/>
      <c r="C31" s="1094"/>
      <c r="D31" s="1101"/>
      <c r="E31" s="794" t="s">
        <v>848</v>
      </c>
      <c r="F31" s="794" t="s">
        <v>849</v>
      </c>
      <c r="G31" s="794" t="s">
        <v>132</v>
      </c>
      <c r="H31" s="794" t="s">
        <v>133</v>
      </c>
      <c r="I31" s="794" t="s">
        <v>134</v>
      </c>
      <c r="J31" s="623"/>
      <c r="K31" s="623"/>
      <c r="L31" s="623"/>
      <c r="M31" s="1106"/>
    </row>
    <row r="32" spans="1:18" x14ac:dyDescent="0.35">
      <c r="A32" s="1080"/>
      <c r="B32" s="1083"/>
      <c r="C32" s="1085" t="s">
        <v>851</v>
      </c>
      <c r="D32" s="1085"/>
      <c r="E32" s="628"/>
      <c r="F32" s="629"/>
      <c r="G32" s="629"/>
      <c r="H32" s="629"/>
      <c r="I32" s="629"/>
      <c r="J32" s="619">
        <v>5</v>
      </c>
      <c r="K32" s="619">
        <v>5</v>
      </c>
      <c r="L32" s="619">
        <v>5</v>
      </c>
      <c r="M32" s="1105"/>
      <c r="R32" s="823" t="str">
        <f>IF(E32&lt;&gt;"",1,IF(F32&lt;&gt;"",2,IF(G32&lt;&gt;"",3,IF(H32&lt;&gt;"",4,IF(I32&lt;&gt;"",5,"NA")))))</f>
        <v>NA</v>
      </c>
    </row>
    <row r="33" spans="1:18" ht="27" customHeight="1" x14ac:dyDescent="0.35">
      <c r="A33" s="1081"/>
      <c r="B33" s="1084"/>
      <c r="C33" s="1087"/>
      <c r="D33" s="1087"/>
      <c r="E33" s="794" t="s">
        <v>848</v>
      </c>
      <c r="F33" s="794" t="s">
        <v>849</v>
      </c>
      <c r="G33" s="794" t="s">
        <v>132</v>
      </c>
      <c r="H33" s="794" t="s">
        <v>133</v>
      </c>
      <c r="I33" s="794" t="s">
        <v>134</v>
      </c>
      <c r="J33" s="623"/>
      <c r="K33" s="623"/>
      <c r="L33" s="623"/>
      <c r="M33" s="1106"/>
    </row>
    <row r="34" spans="1:18" s="597" customFormat="1" ht="15.5" x14ac:dyDescent="0.35">
      <c r="A34" s="630"/>
      <c r="B34" s="630"/>
      <c r="C34" s="630"/>
      <c r="D34" s="630"/>
      <c r="E34" s="630"/>
      <c r="F34" s="630"/>
      <c r="G34" s="630"/>
      <c r="H34" s="630"/>
      <c r="I34" s="630"/>
      <c r="J34" s="630"/>
      <c r="K34" s="630"/>
      <c r="L34" s="630"/>
      <c r="M34" s="630"/>
      <c r="R34" s="824"/>
    </row>
    <row r="35" spans="1:18" s="597" customFormat="1" x14ac:dyDescent="0.45">
      <c r="B35" s="562"/>
      <c r="R35" s="824"/>
    </row>
    <row r="36" spans="1:18" s="597" customFormat="1" ht="15.5" x14ac:dyDescent="0.35">
      <c r="R36" s="824"/>
    </row>
    <row r="37" spans="1:18" s="597" customFormat="1" ht="15.5" x14ac:dyDescent="0.35">
      <c r="R37" s="824"/>
    </row>
    <row r="38" spans="1:18" s="597" customFormat="1" ht="15.5" x14ac:dyDescent="0.35">
      <c r="R38" s="824"/>
    </row>
    <row r="39" spans="1:18" s="597" customFormat="1" ht="15.5" x14ac:dyDescent="0.35">
      <c r="R39" s="824"/>
    </row>
    <row r="40" spans="1:18" s="597" customFormat="1" ht="15.5" x14ac:dyDescent="0.35">
      <c r="R40" s="824"/>
    </row>
    <row r="41" spans="1:18" s="597" customFormat="1" ht="15.5" x14ac:dyDescent="0.35">
      <c r="R41" s="824"/>
    </row>
    <row r="42" spans="1:18" s="597" customFormat="1" ht="15.5" x14ac:dyDescent="0.35">
      <c r="R42" s="824"/>
    </row>
    <row r="43" spans="1:18" s="597" customFormat="1" ht="15.5" x14ac:dyDescent="0.35">
      <c r="R43" s="824"/>
    </row>
    <row r="44" spans="1:18" s="597" customFormat="1" ht="15.5" x14ac:dyDescent="0.35">
      <c r="R44" s="824"/>
    </row>
    <row r="45" spans="1:18" s="597" customFormat="1" ht="15.5" x14ac:dyDescent="0.35">
      <c r="R45" s="824"/>
    </row>
    <row r="46" spans="1:18" s="597" customFormat="1" ht="15.5" x14ac:dyDescent="0.35">
      <c r="R46" s="824"/>
    </row>
    <row r="47" spans="1:18" s="597" customFormat="1" ht="15.5" x14ac:dyDescent="0.35">
      <c r="R47" s="824"/>
    </row>
    <row r="48" spans="1:18" s="597" customFormat="1" ht="15.5" x14ac:dyDescent="0.35">
      <c r="R48" s="824"/>
    </row>
    <row r="49" spans="18:18" s="597" customFormat="1" ht="15.5" x14ac:dyDescent="0.35">
      <c r="R49" s="824"/>
    </row>
    <row r="50" spans="18:18" s="597" customFormat="1" ht="15.5" x14ac:dyDescent="0.35">
      <c r="R50" s="824"/>
    </row>
    <row r="51" spans="18:18" s="597" customFormat="1" ht="15.5" x14ac:dyDescent="0.35">
      <c r="R51" s="824"/>
    </row>
    <row r="52" spans="18:18" s="597" customFormat="1" ht="15.5" x14ac:dyDescent="0.35">
      <c r="R52" s="824"/>
    </row>
    <row r="53" spans="18:18" s="597" customFormat="1" ht="15.5" x14ac:dyDescent="0.35">
      <c r="R53" s="824"/>
    </row>
    <row r="54" spans="18:18" s="597" customFormat="1" ht="15.5" x14ac:dyDescent="0.35">
      <c r="R54" s="824"/>
    </row>
    <row r="55" spans="18:18" s="597" customFormat="1" ht="15.5" x14ac:dyDescent="0.35">
      <c r="R55" s="824"/>
    </row>
    <row r="56" spans="18:18" s="597" customFormat="1" ht="15.5" x14ac:dyDescent="0.35">
      <c r="R56" s="824"/>
    </row>
    <row r="57" spans="18:18" s="597" customFormat="1" ht="15.5" x14ac:dyDescent="0.35">
      <c r="R57" s="824"/>
    </row>
    <row r="58" spans="18:18" s="597" customFormat="1" ht="15.5" x14ac:dyDescent="0.35">
      <c r="R58" s="824"/>
    </row>
    <row r="59" spans="18:18" s="597" customFormat="1" ht="15.5" x14ac:dyDescent="0.35">
      <c r="R59" s="824"/>
    </row>
    <row r="60" spans="18:18" s="597" customFormat="1" ht="15.5" x14ac:dyDescent="0.35">
      <c r="R60" s="824"/>
    </row>
    <row r="61" spans="18:18" s="597" customFormat="1" ht="15.5" x14ac:dyDescent="0.35">
      <c r="R61" s="824"/>
    </row>
    <row r="62" spans="18:18" s="597" customFormat="1" ht="15.5" x14ac:dyDescent="0.35">
      <c r="R62" s="824"/>
    </row>
    <row r="63" spans="18:18" s="597" customFormat="1" ht="15.5" x14ac:dyDescent="0.35">
      <c r="R63" s="824"/>
    </row>
    <row r="64" spans="18:18" s="597" customFormat="1" ht="15.5" x14ac:dyDescent="0.35">
      <c r="R64" s="824"/>
    </row>
    <row r="65" spans="18:18" s="597" customFormat="1" ht="15.5" x14ac:dyDescent="0.35">
      <c r="R65" s="824"/>
    </row>
    <row r="66" spans="18:18" s="597" customFormat="1" ht="15.5" x14ac:dyDescent="0.35">
      <c r="R66" s="824"/>
    </row>
    <row r="67" spans="18:18" s="597" customFormat="1" ht="15.5" x14ac:dyDescent="0.35">
      <c r="R67" s="824"/>
    </row>
    <row r="68" spans="18:18" s="597" customFormat="1" ht="15.5" x14ac:dyDescent="0.35">
      <c r="R68" s="824"/>
    </row>
    <row r="69" spans="18:18" s="597" customFormat="1" ht="15.5" x14ac:dyDescent="0.35">
      <c r="R69" s="824"/>
    </row>
    <row r="70" spans="18:18" s="597" customFormat="1" ht="15.5" x14ac:dyDescent="0.35">
      <c r="R70" s="824"/>
    </row>
    <row r="71" spans="18:18" s="597" customFormat="1" ht="15.5" x14ac:dyDescent="0.35">
      <c r="R71" s="824"/>
    </row>
    <row r="72" spans="18:18" s="597" customFormat="1" ht="15.5" x14ac:dyDescent="0.35">
      <c r="R72" s="824"/>
    </row>
    <row r="73" spans="18:18" s="597" customFormat="1" ht="15.5" x14ac:dyDescent="0.35">
      <c r="R73" s="824"/>
    </row>
    <row r="74" spans="18:18" s="597" customFormat="1" ht="15.5" x14ac:dyDescent="0.35">
      <c r="R74" s="824"/>
    </row>
    <row r="75" spans="18:18" s="597" customFormat="1" ht="15.5" x14ac:dyDescent="0.35">
      <c r="R75" s="824"/>
    </row>
    <row r="76" spans="18:18" s="597" customFormat="1" ht="15.5" x14ac:dyDescent="0.35">
      <c r="R76" s="824"/>
    </row>
    <row r="77" spans="18:18" s="597" customFormat="1" ht="15.5" x14ac:dyDescent="0.35">
      <c r="R77" s="824"/>
    </row>
    <row r="78" spans="18:18" s="597" customFormat="1" ht="15.5" x14ac:dyDescent="0.35">
      <c r="R78" s="824"/>
    </row>
    <row r="79" spans="18:18" s="597" customFormat="1" ht="15.5" x14ac:dyDescent="0.35">
      <c r="R79" s="824"/>
    </row>
    <row r="80" spans="18:18" s="597" customFormat="1" ht="15.5" x14ac:dyDescent="0.35">
      <c r="R80" s="824"/>
    </row>
    <row r="81" spans="18:18" s="597" customFormat="1" ht="15.5" x14ac:dyDescent="0.35">
      <c r="R81" s="824"/>
    </row>
    <row r="82" spans="18:18" s="597" customFormat="1" ht="15.5" x14ac:dyDescent="0.35">
      <c r="R82" s="824"/>
    </row>
    <row r="83" spans="18:18" s="597" customFormat="1" ht="15.5" x14ac:dyDescent="0.35">
      <c r="R83" s="824"/>
    </row>
    <row r="84" spans="18:18" s="597" customFormat="1" ht="15.5" x14ac:dyDescent="0.35">
      <c r="R84" s="824"/>
    </row>
    <row r="85" spans="18:18" s="597" customFormat="1" ht="15.5" x14ac:dyDescent="0.35">
      <c r="R85" s="824"/>
    </row>
    <row r="86" spans="18:18" s="597" customFormat="1" ht="15.5" x14ac:dyDescent="0.35">
      <c r="R86" s="824"/>
    </row>
    <row r="87" spans="18:18" s="597" customFormat="1" ht="15.5" x14ac:dyDescent="0.35">
      <c r="R87" s="824"/>
    </row>
    <row r="88" spans="18:18" s="597" customFormat="1" ht="15.5" x14ac:dyDescent="0.35">
      <c r="R88" s="824"/>
    </row>
    <row r="89" spans="18:18" s="597" customFormat="1" ht="15.5" x14ac:dyDescent="0.35">
      <c r="R89" s="824"/>
    </row>
    <row r="90" spans="18:18" s="597" customFormat="1" ht="15.5" x14ac:dyDescent="0.35">
      <c r="R90" s="824"/>
    </row>
    <row r="91" spans="18:18" s="597" customFormat="1" ht="15.5" x14ac:dyDescent="0.35">
      <c r="R91" s="824"/>
    </row>
    <row r="92" spans="18:18" s="498" customFormat="1" ht="15.5" x14ac:dyDescent="0.35">
      <c r="R92" s="824"/>
    </row>
    <row r="93" spans="18:18" s="498" customFormat="1" ht="15.5" x14ac:dyDescent="0.35">
      <c r="R93" s="824"/>
    </row>
    <row r="94" spans="18:18" s="498" customFormat="1" ht="15.5" x14ac:dyDescent="0.35">
      <c r="R94" s="824"/>
    </row>
    <row r="95" spans="18:18" s="498" customFormat="1" ht="15.5" x14ac:dyDescent="0.35">
      <c r="R95" s="824"/>
    </row>
    <row r="96" spans="18:18" s="498" customFormat="1" ht="15.5" x14ac:dyDescent="0.35">
      <c r="R96" s="824"/>
    </row>
    <row r="97" spans="18:18" s="498" customFormat="1" ht="15.5" x14ac:dyDescent="0.35">
      <c r="R97" s="824"/>
    </row>
    <row r="98" spans="18:18" s="498" customFormat="1" ht="15.5" x14ac:dyDescent="0.35">
      <c r="R98" s="824"/>
    </row>
    <row r="99" spans="18:18" s="498" customFormat="1" ht="15.5" x14ac:dyDescent="0.35">
      <c r="R99" s="824"/>
    </row>
    <row r="100" spans="18:18" s="498" customFormat="1" ht="15.5" x14ac:dyDescent="0.35">
      <c r="R100" s="824"/>
    </row>
    <row r="101" spans="18:18" s="498" customFormat="1" ht="15.5" x14ac:dyDescent="0.35">
      <c r="R101" s="824"/>
    </row>
    <row r="102" spans="18:18" s="498" customFormat="1" ht="15.5" x14ac:dyDescent="0.35">
      <c r="R102" s="824"/>
    </row>
    <row r="103" spans="18:18" s="498" customFormat="1" ht="15.5" x14ac:dyDescent="0.35">
      <c r="R103" s="824"/>
    </row>
    <row r="104" spans="18:18" s="498" customFormat="1" ht="15.5" x14ac:dyDescent="0.35">
      <c r="R104" s="824"/>
    </row>
    <row r="105" spans="18:18" s="498" customFormat="1" ht="15.5" x14ac:dyDescent="0.35">
      <c r="R105" s="824"/>
    </row>
    <row r="106" spans="18:18" s="498" customFormat="1" ht="15.5" x14ac:dyDescent="0.35">
      <c r="R106" s="824"/>
    </row>
    <row r="107" spans="18:18" s="498" customFormat="1" ht="15.5" x14ac:dyDescent="0.35">
      <c r="R107" s="824"/>
    </row>
    <row r="108" spans="18:18" s="498" customFormat="1" ht="15.5" x14ac:dyDescent="0.35">
      <c r="R108" s="824"/>
    </row>
    <row r="109" spans="18:18" s="498" customFormat="1" ht="15.5" x14ac:dyDescent="0.35">
      <c r="R109" s="824"/>
    </row>
    <row r="110" spans="18:18" s="498" customFormat="1" ht="15.5" x14ac:dyDescent="0.35">
      <c r="R110" s="824"/>
    </row>
    <row r="111" spans="18:18" s="498" customFormat="1" ht="15.5" x14ac:dyDescent="0.35">
      <c r="R111" s="824"/>
    </row>
    <row r="112" spans="18:18" s="498" customFormat="1" ht="15.5" x14ac:dyDescent="0.35">
      <c r="R112" s="824"/>
    </row>
    <row r="113" spans="18:18" s="498" customFormat="1" ht="15.5" x14ac:dyDescent="0.35">
      <c r="R113" s="824"/>
    </row>
    <row r="114" spans="18:18" s="498" customFormat="1" ht="15.5" x14ac:dyDescent="0.35">
      <c r="R114" s="824"/>
    </row>
    <row r="115" spans="18:18" s="498" customFormat="1" ht="15.5" x14ac:dyDescent="0.35">
      <c r="R115" s="824"/>
    </row>
    <row r="116" spans="18:18" s="498" customFormat="1" ht="15.5" x14ac:dyDescent="0.35">
      <c r="R116" s="824"/>
    </row>
    <row r="117" spans="18:18" s="498" customFormat="1" ht="15.5" x14ac:dyDescent="0.35">
      <c r="R117" s="824"/>
    </row>
    <row r="118" spans="18:18" s="498" customFormat="1" ht="15.5" x14ac:dyDescent="0.35">
      <c r="R118" s="824"/>
    </row>
    <row r="119" spans="18:18" s="498" customFormat="1" ht="15.5" x14ac:dyDescent="0.35">
      <c r="R119" s="824"/>
    </row>
    <row r="120" spans="18:18" s="498" customFormat="1" ht="15.5" x14ac:dyDescent="0.35">
      <c r="R120" s="824"/>
    </row>
    <row r="121" spans="18:18" s="498" customFormat="1" ht="15.5" x14ac:dyDescent="0.35">
      <c r="R121" s="824"/>
    </row>
    <row r="122" spans="18:18" s="498" customFormat="1" ht="15.5" x14ac:dyDescent="0.35">
      <c r="R122" s="824"/>
    </row>
    <row r="123" spans="18:18" s="498" customFormat="1" ht="15.5" x14ac:dyDescent="0.35">
      <c r="R123" s="824"/>
    </row>
    <row r="124" spans="18:18" s="498" customFormat="1" ht="15.5" x14ac:dyDescent="0.35">
      <c r="R124" s="824"/>
    </row>
    <row r="125" spans="18:18" s="498" customFormat="1" ht="15.5" x14ac:dyDescent="0.35">
      <c r="R125" s="824"/>
    </row>
    <row r="126" spans="18:18" s="498" customFormat="1" ht="15.5" x14ac:dyDescent="0.35">
      <c r="R126" s="824"/>
    </row>
    <row r="127" spans="18:18" s="498" customFormat="1" ht="15.5" x14ac:dyDescent="0.35">
      <c r="R127" s="824"/>
    </row>
  </sheetData>
  <sheetProtection selectLockedCells="1"/>
  <mergeCells count="46">
    <mergeCell ref="N10:N11"/>
    <mergeCell ref="S10:S11"/>
    <mergeCell ref="A26:A27"/>
    <mergeCell ref="B26:B27"/>
    <mergeCell ref="C26:C27"/>
    <mergeCell ref="D26:D27"/>
    <mergeCell ref="M26:M27"/>
    <mergeCell ref="A12:A18"/>
    <mergeCell ref="B12:B18"/>
    <mergeCell ref="C12:C18"/>
    <mergeCell ref="M12:M18"/>
    <mergeCell ref="E15:I15"/>
    <mergeCell ref="A19:A25"/>
    <mergeCell ref="B19:B25"/>
    <mergeCell ref="C19:C25"/>
    <mergeCell ref="M19:M25"/>
    <mergeCell ref="M28:M29"/>
    <mergeCell ref="C30:C31"/>
    <mergeCell ref="D30:D31"/>
    <mergeCell ref="M30:M31"/>
    <mergeCell ref="C32:C33"/>
    <mergeCell ref="D32:D33"/>
    <mergeCell ref="M32:M33"/>
    <mergeCell ref="A28:A33"/>
    <mergeCell ref="B28:B33"/>
    <mergeCell ref="C28:C29"/>
    <mergeCell ref="D28:D29"/>
    <mergeCell ref="E8:I8"/>
    <mergeCell ref="E22:I22"/>
    <mergeCell ref="E17:I17"/>
    <mergeCell ref="E24:I24"/>
    <mergeCell ref="M1:M2"/>
    <mergeCell ref="A3:A11"/>
    <mergeCell ref="B3:B11"/>
    <mergeCell ref="C3:C9"/>
    <mergeCell ref="M3:M9"/>
    <mergeCell ref="E6:I6"/>
    <mergeCell ref="C10:C11"/>
    <mergeCell ref="D10:D11"/>
    <mergeCell ref="M10:M11"/>
    <mergeCell ref="A1:A2"/>
    <mergeCell ref="B1:B2"/>
    <mergeCell ref="C1:C2"/>
    <mergeCell ref="D1:D2"/>
    <mergeCell ref="E1:I1"/>
    <mergeCell ref="J1:L1"/>
  </mergeCells>
  <dataValidations count="1">
    <dataValidation type="whole" allowBlank="1" showInputMessage="1" showErrorMessage="1" sqref="J4:L8 J13:L17 J20:L24" xr:uid="{B48774FE-7E1C-4051-A723-6242B6E06EAA}">
      <formula1>0</formula1>
      <formula2>5</formula2>
    </dataValidation>
  </dataValidations>
  <pageMargins left="0.59055118110236227" right="0.59055118110236227" top="0.94488188976377963" bottom="0.85909090909090913" header="0.31496062992125984" footer="0.31496062992125984"/>
  <pageSetup scale="45" orientation="landscape" horizontalDpi="4294967293" r:id="rId1"/>
  <headerFooter>
    <oddHeader>&amp;L&amp;"Palatino Linotype,Negrita"&amp;18
Desempeño financiero&amp;C&amp;"Palatino Linotype,Negrita"&amp;24Programa Fábricas de Productividad
&amp;20Guía para el diagnóstico general de la Empresa&amp;R&amp;G</oddHeader>
    <oddFooter>&amp;L&amp;"Palatino Linotype,Cursiva"&amp;G
© Colombia Productiva - Programa de Transformación Productiva - PTP&amp;C&amp;"Palatino Linotype,Negrita"&amp;18&amp;G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2" manualBreakCount="2">
    <brk id="25" max="12" man="1"/>
    <brk id="45" max="12" man="1"/>
  </rowBreaks>
  <legacy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tint="-0.499984740745262"/>
    <pageSetUpPr fitToPage="1"/>
  </sheetPr>
  <dimension ref="A1:R82"/>
  <sheetViews>
    <sheetView showGridLines="0" view="pageBreakPreview" topLeftCell="A66" zoomScale="60" zoomScaleNormal="100" workbookViewId="0">
      <selection activeCell="B77" sqref="B77:N77"/>
    </sheetView>
  </sheetViews>
  <sheetFormatPr baseColWidth="10" defaultColWidth="11.453125" defaultRowHeight="21" x14ac:dyDescent="0.35"/>
  <cols>
    <col min="1" max="1" width="8.54296875" style="15" customWidth="1"/>
    <col min="2" max="2" width="48.54296875" style="15" customWidth="1"/>
    <col min="3" max="5" width="12.7265625" style="15" customWidth="1"/>
    <col min="6" max="7" width="12.81640625" style="15" customWidth="1"/>
    <col min="8" max="9" width="18.81640625" style="15" customWidth="1"/>
    <col min="10" max="10" width="23" style="15" customWidth="1"/>
    <col min="11" max="11" width="17.1796875" style="15" customWidth="1"/>
    <col min="12" max="14" width="11.7265625" style="15" customWidth="1"/>
    <col min="15" max="17" width="11.453125" style="15"/>
    <col min="18" max="18" width="28.54296875" style="15" customWidth="1"/>
    <col min="19" max="16384" width="11.453125" style="15"/>
  </cols>
  <sheetData>
    <row r="1" spans="1:16" ht="134.25" customHeight="1" x14ac:dyDescent="0.35">
      <c r="A1" s="1163" t="s">
        <v>852</v>
      </c>
      <c r="B1" s="1163"/>
      <c r="C1" s="1163"/>
      <c r="D1" s="1163"/>
      <c r="E1" s="1163"/>
      <c r="F1" s="1163"/>
      <c r="G1" s="1163"/>
      <c r="H1" s="1163"/>
      <c r="I1" s="1163"/>
      <c r="J1" s="1163"/>
      <c r="K1" s="1163"/>
      <c r="L1" s="1163"/>
      <c r="M1" s="1163"/>
      <c r="N1" s="1163"/>
    </row>
    <row r="3" spans="1:16" x14ac:dyDescent="0.35">
      <c r="I3" s="20" t="s">
        <v>853</v>
      </c>
    </row>
    <row r="4" spans="1:16" x14ac:dyDescent="0.35">
      <c r="I4" s="20" t="s">
        <v>854</v>
      </c>
    </row>
    <row r="5" spans="1:16" ht="23.25" customHeight="1" x14ac:dyDescent="0.35"/>
    <row r="6" spans="1:16" ht="42" customHeight="1" x14ac:dyDescent="0.35">
      <c r="B6" s="1171" t="s">
        <v>855</v>
      </c>
      <c r="C6" s="1171"/>
      <c r="D6" s="1171"/>
      <c r="E6" s="1171"/>
      <c r="F6" s="1171"/>
      <c r="G6" s="1171"/>
      <c r="H6" s="1171"/>
      <c r="I6" s="1171"/>
      <c r="J6" s="1171"/>
      <c r="K6" s="1171"/>
      <c r="L6" s="1171"/>
      <c r="M6" s="1171"/>
      <c r="N6" s="1171"/>
    </row>
    <row r="7" spans="1:16" ht="27" customHeight="1" x14ac:dyDescent="0.35">
      <c r="B7" s="806"/>
      <c r="C7" s="806"/>
      <c r="E7" s="806"/>
      <c r="F7" s="806"/>
      <c r="G7" s="806"/>
      <c r="H7" s="806"/>
      <c r="I7" s="806"/>
      <c r="J7" s="806"/>
      <c r="K7" s="806"/>
      <c r="L7" s="806"/>
      <c r="M7" s="806"/>
      <c r="N7" s="806"/>
    </row>
    <row r="8" spans="1:16" ht="22.5" customHeight="1" x14ac:dyDescent="0.35">
      <c r="B8" s="91" t="s">
        <v>856</v>
      </c>
      <c r="C8" s="92"/>
      <c r="D8" s="4"/>
      <c r="E8" s="4"/>
      <c r="F8" s="4"/>
      <c r="G8" s="4"/>
      <c r="H8" s="4"/>
      <c r="J8" s="1172"/>
      <c r="K8" s="1172"/>
      <c r="L8" s="1172"/>
      <c r="M8" s="1172"/>
      <c r="N8" s="1172"/>
    </row>
    <row r="9" spans="1:16" ht="21.5" thickBot="1" x14ac:dyDescent="0.4">
      <c r="B9" s="131" t="s">
        <v>857</v>
      </c>
      <c r="C9" s="131"/>
      <c r="J9" s="1172"/>
      <c r="K9" s="1172"/>
      <c r="L9" s="1172"/>
      <c r="M9" s="1172"/>
      <c r="N9" s="1172"/>
    </row>
    <row r="10" spans="1:16" ht="45" customHeight="1" thickBot="1" x14ac:dyDescent="0.4">
      <c r="B10" s="1170" t="s">
        <v>858</v>
      </c>
      <c r="C10" s="1132"/>
      <c r="D10" s="1132"/>
      <c r="E10" s="1132"/>
      <c r="F10" s="1132"/>
      <c r="G10" s="1132"/>
      <c r="H10" s="1132"/>
      <c r="I10" s="1132"/>
      <c r="J10" s="1132"/>
      <c r="K10" s="1132"/>
      <c r="L10" s="1132"/>
      <c r="M10" s="1132"/>
      <c r="N10" s="1133"/>
    </row>
    <row r="11" spans="1:16" ht="82.5" customHeight="1" thickBot="1" x14ac:dyDescent="0.4">
      <c r="B11" s="1167" t="s">
        <v>859</v>
      </c>
      <c r="C11" s="1168"/>
      <c r="D11" s="1168"/>
      <c r="E11" s="1168"/>
      <c r="F11" s="1168"/>
      <c r="G11" s="1168"/>
      <c r="H11" s="1168"/>
      <c r="I11" s="1168"/>
      <c r="J11" s="1168"/>
      <c r="K11" s="1168"/>
      <c r="L11" s="1168"/>
      <c r="M11" s="1168"/>
      <c r="N11" s="1169"/>
    </row>
    <row r="12" spans="1:16" ht="45.75" customHeight="1" thickBot="1" x14ac:dyDescent="0.4">
      <c r="B12" s="713" t="s">
        <v>860</v>
      </c>
      <c r="C12" s="1138" t="str">
        <f>+Indice!W15</f>
        <v>ABC</v>
      </c>
      <c r="D12" s="1139"/>
      <c r="E12" s="1139"/>
      <c r="F12" s="1139"/>
      <c r="G12" s="1140"/>
      <c r="H12" s="1128" t="s">
        <v>861</v>
      </c>
      <c r="I12" s="1129"/>
      <c r="J12" s="1147">
        <f>+Indice!W16</f>
        <v>8</v>
      </c>
      <c r="K12" s="1148"/>
      <c r="L12" s="1148"/>
      <c r="M12" s="1148"/>
      <c r="N12" s="1149"/>
      <c r="P12" s="9"/>
    </row>
    <row r="13" spans="1:16" ht="45.75" customHeight="1" thickBot="1" x14ac:dyDescent="0.4">
      <c r="B13" s="713" t="s">
        <v>862</v>
      </c>
      <c r="C13" s="1141">
        <v>1</v>
      </c>
      <c r="D13" s="1142"/>
      <c r="E13" s="1142"/>
      <c r="F13" s="1142"/>
      <c r="G13" s="1143"/>
      <c r="H13" s="1128" t="s">
        <v>863</v>
      </c>
      <c r="I13" s="1129"/>
      <c r="J13" s="1142">
        <v>10</v>
      </c>
      <c r="K13" s="1142"/>
      <c r="L13" s="1142"/>
      <c r="M13" s="1142"/>
      <c r="N13" s="1143"/>
    </row>
    <row r="14" spans="1:16" ht="45.75" customHeight="1" thickBot="1" x14ac:dyDescent="0.4">
      <c r="B14" s="5" t="s">
        <v>864</v>
      </c>
      <c r="C14" s="1138" t="s">
        <v>865</v>
      </c>
      <c r="D14" s="1139"/>
      <c r="E14" s="1139"/>
      <c r="F14" s="1139"/>
      <c r="G14" s="1140"/>
      <c r="H14" s="1128" t="s">
        <v>866</v>
      </c>
      <c r="I14" s="1129"/>
      <c r="J14" s="1138" t="str">
        <f>+Indice!W20</f>
        <v>Medellín</v>
      </c>
      <c r="K14" s="1139"/>
      <c r="L14" s="1139"/>
      <c r="M14" s="1139"/>
      <c r="N14" s="1140"/>
    </row>
    <row r="15" spans="1:16" ht="45.75" customHeight="1" thickBot="1" x14ac:dyDescent="0.4">
      <c r="B15" s="102" t="s">
        <v>867</v>
      </c>
      <c r="C15" s="891" t="str">
        <f>+Indice!W18</f>
        <v>C2221</v>
      </c>
      <c r="D15" s="1161" t="str">
        <f>VLOOKUP(C15,SIREM!$F$1:$G$1744,2,FALSE)</f>
        <v>Fabricación de formas básicas de plástico</v>
      </c>
      <c r="E15" s="1161"/>
      <c r="F15" s="1161"/>
      <c r="G15" s="1162"/>
      <c r="H15" s="1128" t="s">
        <v>868</v>
      </c>
      <c r="I15" s="1129"/>
      <c r="J15" s="1164">
        <v>12345</v>
      </c>
      <c r="K15" s="1165"/>
      <c r="L15" s="1165"/>
      <c r="M15" s="1165"/>
      <c r="N15" s="1166"/>
    </row>
    <row r="16" spans="1:16" ht="45.75" customHeight="1" thickBot="1" x14ac:dyDescent="0.4">
      <c r="B16" s="6" t="s">
        <v>869</v>
      </c>
      <c r="C16" s="1144" t="s">
        <v>870</v>
      </c>
      <c r="D16" s="1145"/>
      <c r="E16" s="1145"/>
      <c r="F16" s="1145"/>
      <c r="G16" s="1146"/>
      <c r="H16" s="1128" t="s">
        <v>871</v>
      </c>
      <c r="I16" s="1129"/>
      <c r="J16" s="1164"/>
      <c r="K16" s="1165"/>
      <c r="L16" s="1165"/>
      <c r="M16" s="1165"/>
      <c r="N16" s="1166"/>
    </row>
    <row r="17" spans="2:14" ht="16.5" customHeight="1" x14ac:dyDescent="0.35">
      <c r="B17" s="7"/>
      <c r="C17" s="8"/>
      <c r="D17" s="8"/>
      <c r="E17" s="8"/>
      <c r="F17" s="8"/>
      <c r="G17" s="8"/>
      <c r="H17" s="8"/>
      <c r="I17" s="8"/>
      <c r="J17" s="165"/>
      <c r="K17" s="165"/>
      <c r="L17" s="165"/>
      <c r="M17" s="165"/>
      <c r="N17" s="165"/>
    </row>
    <row r="18" spans="2:14" ht="19.5" customHeight="1" thickBot="1" x14ac:dyDescent="0.4"/>
    <row r="19" spans="2:14" ht="45" customHeight="1" thickBot="1" x14ac:dyDescent="0.4">
      <c r="B19" s="1170" t="s">
        <v>872</v>
      </c>
      <c r="C19" s="1132"/>
      <c r="D19" s="1132"/>
      <c r="E19" s="1132"/>
      <c r="F19" s="1132"/>
      <c r="G19" s="1132"/>
      <c r="H19" s="1132"/>
      <c r="I19" s="1132"/>
      <c r="J19" s="1132"/>
      <c r="K19" s="1132"/>
      <c r="L19" s="1132"/>
      <c r="M19" s="1132"/>
      <c r="N19" s="1133"/>
    </row>
    <row r="20" spans="2:14" ht="44.25" customHeight="1" thickBot="1" x14ac:dyDescent="0.4">
      <c r="B20" s="1167" t="s">
        <v>873</v>
      </c>
      <c r="C20" s="1168"/>
      <c r="D20" s="1168"/>
      <c r="E20" s="1168"/>
      <c r="F20" s="1168"/>
      <c r="G20" s="1168"/>
      <c r="H20" s="1168"/>
      <c r="I20" s="1168"/>
      <c r="J20" s="1168"/>
      <c r="K20" s="1168"/>
      <c r="L20" s="1168"/>
      <c r="M20" s="1168"/>
      <c r="N20" s="1169"/>
    </row>
    <row r="21" spans="2:14" s="9" customFormat="1" ht="37.5" customHeight="1" thickBot="1" x14ac:dyDescent="0.4">
      <c r="B21" s="1153" t="s">
        <v>874</v>
      </c>
      <c r="C21" s="1154"/>
      <c r="D21" s="1154"/>
      <c r="E21" s="1154"/>
      <c r="F21" s="1154"/>
      <c r="G21" s="1155"/>
      <c r="H21" s="1150" t="s">
        <v>875</v>
      </c>
      <c r="I21" s="1150"/>
      <c r="J21" s="1150" t="s">
        <v>876</v>
      </c>
      <c r="K21" s="1150"/>
      <c r="L21" s="115">
        <v>1</v>
      </c>
      <c r="M21" s="115">
        <v>2</v>
      </c>
      <c r="N21" s="116">
        <v>3</v>
      </c>
    </row>
    <row r="22" spans="2:14" ht="42.75" customHeight="1" x14ac:dyDescent="0.35">
      <c r="B22" s="1156" t="s">
        <v>738</v>
      </c>
      <c r="C22" s="1157"/>
      <c r="D22" s="1157"/>
      <c r="E22" s="1157"/>
      <c r="F22" s="1157"/>
      <c r="G22" s="1158"/>
      <c r="H22" s="1151"/>
      <c r="I22" s="1151"/>
      <c r="J22" s="1134"/>
      <c r="K22" s="1135"/>
      <c r="L22" s="113" t="s">
        <v>877</v>
      </c>
      <c r="M22" s="113" t="s">
        <v>877</v>
      </c>
      <c r="N22" s="114" t="s">
        <v>877</v>
      </c>
    </row>
    <row r="23" spans="2:14" ht="42.75" customHeight="1" x14ac:dyDescent="0.35">
      <c r="B23" s="1159" t="s">
        <v>740</v>
      </c>
      <c r="C23" s="1160"/>
      <c r="D23" s="1160"/>
      <c r="E23" s="1160"/>
      <c r="F23" s="1160"/>
      <c r="G23" s="1160"/>
      <c r="H23" s="1137"/>
      <c r="I23" s="1152"/>
      <c r="J23" s="1136"/>
      <c r="K23" s="1137"/>
      <c r="L23" s="16"/>
      <c r="M23" s="16" t="s">
        <v>877</v>
      </c>
      <c r="N23" s="17"/>
    </row>
    <row r="24" spans="2:14" ht="42.75" customHeight="1" x14ac:dyDescent="0.35">
      <c r="B24" s="1159" t="s">
        <v>752</v>
      </c>
      <c r="C24" s="1160"/>
      <c r="D24" s="1160"/>
      <c r="E24" s="1160"/>
      <c r="F24" s="1160"/>
      <c r="G24" s="1160"/>
      <c r="H24" s="1137"/>
      <c r="I24" s="1152"/>
      <c r="J24" s="1136"/>
      <c r="K24" s="1137"/>
      <c r="L24" s="16" t="s">
        <v>877</v>
      </c>
      <c r="M24" s="16"/>
      <c r="N24" s="17" t="s">
        <v>877</v>
      </c>
    </row>
    <row r="25" spans="2:14" ht="42.75" customHeight="1" x14ac:dyDescent="0.35">
      <c r="B25" s="1159" t="s">
        <v>753</v>
      </c>
      <c r="C25" s="1160"/>
      <c r="D25" s="1160"/>
      <c r="E25" s="1160"/>
      <c r="F25" s="1160"/>
      <c r="G25" s="1160"/>
      <c r="H25" s="1137"/>
      <c r="I25" s="1152"/>
      <c r="J25" s="1136"/>
      <c r="K25" s="1137"/>
      <c r="L25" s="16"/>
      <c r="M25" s="16"/>
      <c r="N25" s="17"/>
    </row>
    <row r="26" spans="2:14" ht="42.75" customHeight="1" thickBot="1" x14ac:dyDescent="0.4">
      <c r="B26" s="1235" t="s">
        <v>755</v>
      </c>
      <c r="C26" s="1236"/>
      <c r="D26" s="1236"/>
      <c r="E26" s="1236"/>
      <c r="F26" s="1236"/>
      <c r="G26" s="1236"/>
      <c r="H26" s="1233"/>
      <c r="I26" s="1234"/>
      <c r="J26" s="1232"/>
      <c r="K26" s="1233"/>
      <c r="L26" s="18"/>
      <c r="M26" s="18"/>
      <c r="N26" s="19"/>
    </row>
    <row r="27" spans="2:14" ht="40.5" customHeight="1" thickBot="1" x14ac:dyDescent="0.4">
      <c r="B27" s="3"/>
      <c r="C27" s="3"/>
      <c r="D27" s="20"/>
      <c r="E27" s="20"/>
      <c r="F27" s="20"/>
      <c r="G27" s="20"/>
      <c r="J27" s="20"/>
      <c r="K27" s="20"/>
      <c r="L27" s="20"/>
      <c r="M27" s="20"/>
      <c r="N27" s="20"/>
    </row>
    <row r="28" spans="2:14" ht="45" customHeight="1" thickBot="1" x14ac:dyDescent="0.4">
      <c r="B28" s="1130" t="s">
        <v>878</v>
      </c>
      <c r="C28" s="1131"/>
      <c r="D28" s="1132"/>
      <c r="E28" s="1132"/>
      <c r="F28" s="1132"/>
      <c r="G28" s="1132"/>
      <c r="H28" s="1132"/>
      <c r="I28" s="1132"/>
      <c r="J28" s="1132"/>
      <c r="K28" s="1132"/>
      <c r="L28" s="1132"/>
      <c r="M28" s="1132"/>
      <c r="N28" s="1133"/>
    </row>
    <row r="29" spans="2:14" ht="29.25" customHeight="1" thickBot="1" x14ac:dyDescent="0.4">
      <c r="B29" s="1189" t="s">
        <v>879</v>
      </c>
      <c r="C29" s="1190"/>
      <c r="D29" s="1190"/>
      <c r="E29" s="1190"/>
      <c r="F29" s="1190"/>
      <c r="G29" s="1190"/>
      <c r="H29" s="1190"/>
      <c r="I29" s="1190"/>
      <c r="J29" s="1190"/>
      <c r="K29" s="1190"/>
      <c r="L29" s="1190"/>
      <c r="M29" s="1190"/>
      <c r="N29" s="1191"/>
    </row>
    <row r="30" spans="2:14" ht="71.5" customHeight="1" x14ac:dyDescent="0.35">
      <c r="B30" s="1197" t="s">
        <v>880</v>
      </c>
      <c r="C30" s="1203" t="s">
        <v>881</v>
      </c>
      <c r="D30" s="1204"/>
      <c r="E30" s="1204"/>
      <c r="F30" s="1204"/>
      <c r="G30" s="1204"/>
      <c r="H30" s="1204"/>
      <c r="I30" s="1204"/>
      <c r="J30" s="1204"/>
      <c r="K30" s="1204"/>
      <c r="L30" s="1204"/>
      <c r="M30" s="1204"/>
      <c r="N30" s="1205"/>
    </row>
    <row r="31" spans="2:14" ht="71.5" customHeight="1" x14ac:dyDescent="0.35">
      <c r="B31" s="1198"/>
      <c r="C31" s="1203" t="s">
        <v>740</v>
      </c>
      <c r="D31" s="1204"/>
      <c r="E31" s="1204"/>
      <c r="F31" s="1204"/>
      <c r="G31" s="1204"/>
      <c r="H31" s="1204"/>
      <c r="I31" s="1204"/>
      <c r="J31" s="1204"/>
      <c r="K31" s="1204"/>
      <c r="L31" s="1204"/>
      <c r="M31" s="1204"/>
      <c r="N31" s="1205"/>
    </row>
    <row r="32" spans="2:14" ht="71.5" customHeight="1" x14ac:dyDescent="0.35">
      <c r="B32" s="1198"/>
      <c r="C32" s="1203" t="s">
        <v>752</v>
      </c>
      <c r="D32" s="1204"/>
      <c r="E32" s="1204"/>
      <c r="F32" s="1204"/>
      <c r="G32" s="1204"/>
      <c r="H32" s="1204"/>
      <c r="I32" s="1204"/>
      <c r="J32" s="1204"/>
      <c r="K32" s="1204"/>
      <c r="L32" s="1204"/>
      <c r="M32" s="1204"/>
      <c r="N32" s="1205"/>
    </row>
    <row r="33" spans="1:14" ht="71.5" customHeight="1" x14ac:dyDescent="0.35">
      <c r="B33" s="1198"/>
      <c r="C33" s="1203" t="s">
        <v>753</v>
      </c>
      <c r="D33" s="1204"/>
      <c r="E33" s="1204"/>
      <c r="F33" s="1204"/>
      <c r="G33" s="1204"/>
      <c r="H33" s="1204"/>
      <c r="I33" s="1204"/>
      <c r="J33" s="1204"/>
      <c r="K33" s="1204"/>
      <c r="L33" s="1204"/>
      <c r="M33" s="1204"/>
      <c r="N33" s="1205"/>
    </row>
    <row r="34" spans="1:14" ht="71.5" customHeight="1" thickBot="1" x14ac:dyDescent="0.4">
      <c r="B34" s="1199"/>
      <c r="C34" s="1229" t="s">
        <v>755</v>
      </c>
      <c r="D34" s="1230"/>
      <c r="E34" s="1230"/>
      <c r="F34" s="1230"/>
      <c r="G34" s="1230"/>
      <c r="H34" s="1230"/>
      <c r="I34" s="1230"/>
      <c r="J34" s="1230"/>
      <c r="K34" s="1230"/>
      <c r="L34" s="1230"/>
      <c r="M34" s="1230"/>
      <c r="N34" s="1231"/>
    </row>
    <row r="35" spans="1:14" ht="18" customHeight="1" x14ac:dyDescent="0.35"/>
    <row r="36" spans="1:14" ht="18" customHeight="1" x14ac:dyDescent="0.35"/>
    <row r="37" spans="1:14" ht="19" customHeight="1" thickBot="1" x14ac:dyDescent="0.4">
      <c r="B37" s="20"/>
      <c r="C37" s="20"/>
      <c r="D37" s="20"/>
      <c r="E37" s="20"/>
      <c r="F37" s="20"/>
      <c r="G37" s="20"/>
      <c r="H37" s="20"/>
      <c r="I37" s="20"/>
      <c r="J37" s="20"/>
      <c r="K37" s="20"/>
      <c r="L37" s="20"/>
      <c r="M37" s="20"/>
      <c r="N37" s="20"/>
    </row>
    <row r="38" spans="1:14" ht="38.25" customHeight="1" thickBot="1" x14ac:dyDescent="0.4">
      <c r="B38" s="1130" t="s">
        <v>882</v>
      </c>
      <c r="C38" s="1131"/>
      <c r="D38" s="1132"/>
      <c r="E38" s="1132"/>
      <c r="F38" s="1132"/>
      <c r="G38" s="1132"/>
      <c r="H38" s="1132"/>
      <c r="I38" s="1132"/>
      <c r="J38" s="1132"/>
      <c r="K38" s="1132"/>
      <c r="L38" s="1132"/>
      <c r="M38" s="1132"/>
      <c r="N38" s="1133"/>
    </row>
    <row r="39" spans="1:14" ht="22" customHeight="1" x14ac:dyDescent="0.35">
      <c r="B39" s="1206" t="s">
        <v>883</v>
      </c>
      <c r="C39" s="1207"/>
      <c r="D39" s="1207"/>
      <c r="E39" s="1208"/>
      <c r="F39" s="1218"/>
      <c r="G39" s="1219"/>
      <c r="H39" s="1212" t="s">
        <v>884</v>
      </c>
      <c r="I39" s="1213"/>
      <c r="J39" s="1213"/>
      <c r="K39" s="1213"/>
      <c r="L39" s="1214"/>
      <c r="M39" s="1222">
        <f>+Indice!W14</f>
        <v>44025</v>
      </c>
      <c r="N39" s="1223"/>
    </row>
    <row r="40" spans="1:14" ht="6" customHeight="1" thickBot="1" x14ac:dyDescent="0.4">
      <c r="B40" s="1209"/>
      <c r="C40" s="1210"/>
      <c r="D40" s="1210"/>
      <c r="E40" s="1211"/>
      <c r="F40" s="1220"/>
      <c r="G40" s="1221"/>
      <c r="H40" s="1215"/>
      <c r="I40" s="1216"/>
      <c r="J40" s="1216"/>
      <c r="K40" s="1216"/>
      <c r="L40" s="1217"/>
      <c r="M40" s="1224"/>
      <c r="N40" s="1225"/>
    </row>
    <row r="41" spans="1:14" ht="40" customHeight="1" thickBot="1" x14ac:dyDescent="0.4">
      <c r="B41" s="175" t="s">
        <v>885</v>
      </c>
      <c r="C41" s="176"/>
      <c r="D41" s="177" t="s">
        <v>886</v>
      </c>
      <c r="E41" s="178"/>
      <c r="F41" s="179" t="s">
        <v>887</v>
      </c>
      <c r="G41" s="178"/>
      <c r="H41" s="1226" t="s">
        <v>888</v>
      </c>
      <c r="I41" s="1227"/>
      <c r="J41" s="1227"/>
      <c r="K41" s="1227"/>
      <c r="L41" s="1228"/>
      <c r="M41" s="1254"/>
      <c r="N41" s="1255"/>
    </row>
    <row r="42" spans="1:14" ht="20.149999999999999" customHeight="1" x14ac:dyDescent="0.35">
      <c r="B42" s="796"/>
      <c r="C42" s="797"/>
      <c r="D42" s="797"/>
      <c r="E42" s="797"/>
      <c r="F42" s="797"/>
      <c r="G42" s="797"/>
      <c r="H42" s="797"/>
      <c r="I42" s="797"/>
      <c r="J42" s="797"/>
      <c r="K42" s="797"/>
      <c r="L42" s="797"/>
      <c r="M42" s="797"/>
      <c r="N42" s="798"/>
    </row>
    <row r="43" spans="1:14" ht="28.15" customHeight="1" x14ac:dyDescent="0.55000000000000004">
      <c r="B43" s="222" t="s">
        <v>765</v>
      </c>
      <c r="C43" s="223"/>
      <c r="D43" s="223"/>
      <c r="E43" s="224" t="s">
        <v>737</v>
      </c>
      <c r="F43" s="224" t="s">
        <v>766</v>
      </c>
      <c r="G43" s="224" t="s">
        <v>767</v>
      </c>
      <c r="L43" s="20"/>
      <c r="M43" s="20"/>
      <c r="N43" s="799"/>
    </row>
    <row r="44" spans="1:14" ht="28.15" customHeight="1" x14ac:dyDescent="0.55000000000000004">
      <c r="A44" s="185">
        <f>+E44</f>
        <v>2.5</v>
      </c>
      <c r="B44" s="225" t="s">
        <v>739</v>
      </c>
      <c r="C44" s="226"/>
      <c r="D44" s="226"/>
      <c r="E44" s="635">
        <f>+'Situación actual'!J125</f>
        <v>2.5</v>
      </c>
      <c r="F44" s="228">
        <v>5</v>
      </c>
      <c r="G44" s="247">
        <f>(F44-E44)/F44</f>
        <v>0.5</v>
      </c>
      <c r="L44" s="20"/>
      <c r="M44" s="20"/>
      <c r="N44" s="799"/>
    </row>
    <row r="45" spans="1:14" ht="28.15" customHeight="1" x14ac:dyDescent="0.55000000000000004">
      <c r="A45" s="185">
        <f t="shared" ref="A45:A52" si="0">+E45</f>
        <v>2</v>
      </c>
      <c r="B45" s="229" t="s">
        <v>741</v>
      </c>
      <c r="C45" s="230"/>
      <c r="D45" s="230"/>
      <c r="E45" s="636">
        <f>+'Situación actual'!J126</f>
        <v>2</v>
      </c>
      <c r="F45" s="231">
        <v>5</v>
      </c>
      <c r="G45" s="248">
        <f t="shared" ref="G45:G52" si="1">(F45-E45)/F45</f>
        <v>0.6</v>
      </c>
      <c r="L45" s="20"/>
      <c r="M45" s="20"/>
      <c r="N45" s="799"/>
    </row>
    <row r="46" spans="1:14" ht="28.15" customHeight="1" x14ac:dyDescent="0.55000000000000004">
      <c r="A46" s="185">
        <f t="shared" si="0"/>
        <v>0</v>
      </c>
      <c r="B46" s="225" t="s">
        <v>211</v>
      </c>
      <c r="C46" s="226"/>
      <c r="D46" s="226"/>
      <c r="E46" s="635">
        <f>+'Situación actual'!J127</f>
        <v>0</v>
      </c>
      <c r="F46" s="227">
        <v>5</v>
      </c>
      <c r="G46" s="249">
        <f t="shared" si="1"/>
        <v>1</v>
      </c>
      <c r="L46" s="20"/>
      <c r="M46" s="20"/>
      <c r="N46" s="799"/>
    </row>
    <row r="47" spans="1:14" ht="28.15" customHeight="1" x14ac:dyDescent="0.55000000000000004">
      <c r="A47" s="185">
        <f t="shared" si="0"/>
        <v>4.6363636363636367</v>
      </c>
      <c r="B47" s="229" t="s">
        <v>754</v>
      </c>
      <c r="C47" s="230"/>
      <c r="D47" s="230"/>
      <c r="E47" s="636">
        <f>+'Situación actual'!J128</f>
        <v>4.6363636363636367</v>
      </c>
      <c r="F47" s="231">
        <v>5</v>
      </c>
      <c r="G47" s="248">
        <f t="shared" si="1"/>
        <v>7.2727272727272668E-2</v>
      </c>
      <c r="L47" s="20"/>
      <c r="M47" s="20"/>
      <c r="N47" s="799"/>
    </row>
    <row r="48" spans="1:14" ht="28.15" customHeight="1" x14ac:dyDescent="0.55000000000000004">
      <c r="A48" s="185">
        <f t="shared" si="0"/>
        <v>1</v>
      </c>
      <c r="B48" s="225" t="s">
        <v>756</v>
      </c>
      <c r="C48" s="226"/>
      <c r="D48" s="226"/>
      <c r="E48" s="635">
        <f>+'Situación actual'!J129</f>
        <v>1</v>
      </c>
      <c r="F48" s="227">
        <v>5</v>
      </c>
      <c r="G48" s="249">
        <f t="shared" si="1"/>
        <v>0.8</v>
      </c>
      <c r="L48" s="20"/>
      <c r="M48" s="20"/>
      <c r="N48" s="799"/>
    </row>
    <row r="49" spans="1:18" ht="28.15" customHeight="1" x14ac:dyDescent="0.55000000000000004">
      <c r="A49" s="185">
        <f t="shared" si="0"/>
        <v>2.3333333333333335</v>
      </c>
      <c r="B49" s="232" t="s">
        <v>758</v>
      </c>
      <c r="C49" s="233"/>
      <c r="D49" s="233"/>
      <c r="E49" s="637">
        <f>+'Situación actual'!J130</f>
        <v>2.3333333333333335</v>
      </c>
      <c r="F49" s="234">
        <v>5</v>
      </c>
      <c r="G49" s="250">
        <f t="shared" si="1"/>
        <v>0.53333333333333333</v>
      </c>
      <c r="L49" s="20"/>
      <c r="M49" s="20"/>
      <c r="N49" s="799"/>
    </row>
    <row r="50" spans="1:18" ht="28.15" customHeight="1" x14ac:dyDescent="0.55000000000000004">
      <c r="A50" s="185">
        <f t="shared" si="0"/>
        <v>3</v>
      </c>
      <c r="B50" s="235" t="s">
        <v>760</v>
      </c>
      <c r="C50" s="236"/>
      <c r="D50" s="236"/>
      <c r="E50" s="638">
        <f>+'Situación actual'!J131</f>
        <v>3</v>
      </c>
      <c r="F50" s="237">
        <v>5</v>
      </c>
      <c r="G50" s="251">
        <f t="shared" si="1"/>
        <v>0.4</v>
      </c>
      <c r="L50" s="20"/>
      <c r="M50" s="20"/>
      <c r="N50" s="799"/>
    </row>
    <row r="51" spans="1:18" ht="28.15" customHeight="1" x14ac:dyDescent="0.55000000000000004">
      <c r="A51" s="185">
        <f t="shared" si="0"/>
        <v>4.2</v>
      </c>
      <c r="B51" s="238" t="s">
        <v>762</v>
      </c>
      <c r="C51" s="239"/>
      <c r="D51" s="239"/>
      <c r="E51" s="639">
        <f>+'Situación actual'!J132</f>
        <v>4.2</v>
      </c>
      <c r="F51" s="240">
        <v>5</v>
      </c>
      <c r="G51" s="252">
        <f t="shared" si="1"/>
        <v>0.15999999999999998</v>
      </c>
      <c r="L51" s="20"/>
      <c r="M51" s="20"/>
      <c r="N51" s="799"/>
    </row>
    <row r="52" spans="1:18" ht="28.15" customHeight="1" x14ac:dyDescent="0.55000000000000004">
      <c r="A52" s="185">
        <f t="shared" si="0"/>
        <v>5</v>
      </c>
      <c r="B52" s="241" t="s">
        <v>764</v>
      </c>
      <c r="C52" s="242"/>
      <c r="D52" s="242"/>
      <c r="E52" s="640">
        <f>+'Situación actual'!J133</f>
        <v>5</v>
      </c>
      <c r="F52" s="243">
        <v>5</v>
      </c>
      <c r="G52" s="253">
        <f t="shared" si="1"/>
        <v>0</v>
      </c>
      <c r="H52" s="244" t="s">
        <v>889</v>
      </c>
      <c r="I52" s="184"/>
      <c r="J52" s="184"/>
      <c r="K52" s="1256" t="str">
        <f>VLOOKUP(MIN(E44:E52),$A$44:$B$52,2,FALSE)</f>
        <v>Productividad laboral</v>
      </c>
      <c r="L52" s="1256"/>
      <c r="M52" s="1256"/>
      <c r="N52" s="1257"/>
    </row>
    <row r="53" spans="1:18" ht="25" customHeight="1" thickBot="1" x14ac:dyDescent="0.4">
      <c r="B53" s="800"/>
      <c r="C53" s="801"/>
      <c r="D53" s="801"/>
      <c r="E53" s="801"/>
      <c r="F53" s="801"/>
      <c r="G53" s="801"/>
      <c r="H53" s="801"/>
      <c r="I53" s="801"/>
      <c r="J53" s="801"/>
      <c r="K53" s="801"/>
      <c r="L53" s="801"/>
      <c r="M53" s="801"/>
      <c r="N53" s="802"/>
    </row>
    <row r="54" spans="1:18" ht="98.25" customHeight="1" thickBot="1" x14ac:dyDescent="0.4">
      <c r="B54" s="183" t="s">
        <v>890</v>
      </c>
      <c r="C54" s="1246"/>
      <c r="D54" s="1247"/>
      <c r="E54" s="1247"/>
      <c r="F54" s="1247"/>
      <c r="G54" s="1247"/>
      <c r="H54" s="1247"/>
      <c r="I54" s="1247"/>
      <c r="J54" s="1247"/>
      <c r="K54" s="1247"/>
      <c r="L54" s="1247"/>
      <c r="M54" s="1247"/>
      <c r="N54" s="1248"/>
    </row>
    <row r="55" spans="1:18" ht="96" customHeight="1" thickBot="1" x14ac:dyDescent="0.4">
      <c r="B55" s="805" t="s">
        <v>891</v>
      </c>
      <c r="C55" s="1116" t="s">
        <v>741</v>
      </c>
      <c r="D55" s="1117"/>
      <c r="E55" s="1117"/>
      <c r="F55" s="1117"/>
      <c r="G55" s="1117"/>
      <c r="H55" s="1117"/>
      <c r="I55" s="1117"/>
      <c r="J55" s="1117"/>
      <c r="K55" s="1117"/>
      <c r="L55" s="1117"/>
      <c r="M55" s="1117"/>
      <c r="N55" s="1118"/>
      <c r="O55" s="1237" t="s">
        <v>892</v>
      </c>
      <c r="P55" s="1173"/>
      <c r="Q55" s="1173"/>
      <c r="R55" s="1173"/>
    </row>
    <row r="56" spans="1:18" ht="90" customHeight="1" thickBot="1" x14ac:dyDescent="0.4">
      <c r="B56" s="10" t="s">
        <v>893</v>
      </c>
      <c r="C56" s="1238"/>
      <c r="D56" s="1239"/>
      <c r="E56" s="1239"/>
      <c r="F56" s="1239"/>
      <c r="G56" s="1239"/>
      <c r="H56" s="1239"/>
      <c r="I56" s="1239"/>
      <c r="J56" s="1239"/>
      <c r="K56" s="1239"/>
      <c r="L56" s="1239"/>
      <c r="M56" s="1239"/>
      <c r="N56" s="1240"/>
    </row>
    <row r="57" spans="1:18" ht="38.25" customHeight="1" thickBot="1" x14ac:dyDescent="0.4">
      <c r="B57" s="20"/>
      <c r="C57" s="20"/>
      <c r="D57" s="20"/>
      <c r="E57" s="20"/>
      <c r="F57" s="20"/>
      <c r="G57" s="20"/>
      <c r="H57" s="20"/>
      <c r="I57" s="20"/>
      <c r="J57" s="20"/>
      <c r="K57" s="20"/>
      <c r="L57" s="20"/>
      <c r="M57" s="20"/>
      <c r="N57" s="20"/>
    </row>
    <row r="58" spans="1:18" ht="40.5" customHeight="1" thickBot="1" x14ac:dyDescent="0.4">
      <c r="B58" s="1130" t="s">
        <v>894</v>
      </c>
      <c r="C58" s="1131"/>
      <c r="D58" s="1132"/>
      <c r="E58" s="1132"/>
      <c r="F58" s="1132"/>
      <c r="G58" s="1132"/>
      <c r="H58" s="1132"/>
      <c r="I58" s="1132"/>
      <c r="J58" s="1132"/>
      <c r="K58" s="1132"/>
      <c r="L58" s="1132"/>
      <c r="M58" s="1132"/>
      <c r="N58" s="1133"/>
    </row>
    <row r="59" spans="1:18" ht="46.5" customHeight="1" thickBot="1" x14ac:dyDescent="0.4">
      <c r="B59" s="1200" t="s">
        <v>895</v>
      </c>
      <c r="C59" s="1201"/>
      <c r="D59" s="1201"/>
      <c r="E59" s="1202"/>
      <c r="F59" s="1122"/>
      <c r="G59" s="1123"/>
      <c r="H59" s="1123"/>
      <c r="I59" s="1124"/>
      <c r="J59" s="1128" t="s">
        <v>896</v>
      </c>
      <c r="K59" s="1129"/>
      <c r="L59" s="1122"/>
      <c r="M59" s="1123"/>
      <c r="N59" s="1124"/>
    </row>
    <row r="60" spans="1:18" ht="42.65" customHeight="1" thickBot="1" x14ac:dyDescent="0.4">
      <c r="B60" s="1200" t="s">
        <v>897</v>
      </c>
      <c r="C60" s="1201"/>
      <c r="D60" s="1201"/>
      <c r="E60" s="1201"/>
      <c r="F60" s="1125"/>
      <c r="G60" s="1126"/>
      <c r="H60" s="1126"/>
      <c r="I60" s="1127"/>
      <c r="J60" s="1128" t="s">
        <v>898</v>
      </c>
      <c r="K60" s="1129"/>
      <c r="L60" s="1125"/>
      <c r="M60" s="1126"/>
      <c r="N60" s="1127"/>
    </row>
    <row r="61" spans="1:18" ht="40.5" customHeight="1" thickBot="1" x14ac:dyDescent="0.4"/>
    <row r="62" spans="1:18" s="13" customFormat="1" ht="40.5" customHeight="1" thickBot="1" x14ac:dyDescent="0.4">
      <c r="B62" s="1130" t="s">
        <v>899</v>
      </c>
      <c r="C62" s="1131"/>
      <c r="D62" s="1131"/>
      <c r="E62" s="1132"/>
      <c r="F62" s="1132"/>
      <c r="G62" s="1132"/>
      <c r="H62" s="1132"/>
      <c r="I62" s="1132"/>
      <c r="J62" s="1132"/>
      <c r="K62" s="1132"/>
      <c r="L62" s="1132"/>
      <c r="M62" s="1132"/>
      <c r="N62" s="1133"/>
    </row>
    <row r="63" spans="1:18" s="13" customFormat="1" ht="24.65" customHeight="1" thickBot="1" x14ac:dyDescent="0.4">
      <c r="B63" s="1251" t="s">
        <v>900</v>
      </c>
      <c r="C63" s="1252"/>
      <c r="D63" s="1252"/>
      <c r="E63" s="1252"/>
      <c r="F63" s="1252"/>
      <c r="G63" s="1252"/>
      <c r="H63" s="1252"/>
      <c r="I63" s="1252"/>
      <c r="J63" s="1252"/>
      <c r="K63" s="1252"/>
      <c r="L63" s="1252"/>
      <c r="M63" s="1252"/>
      <c r="N63" s="1253"/>
    </row>
    <row r="64" spans="1:18" s="13" customFormat="1" ht="45" customHeight="1" thickBot="1" x14ac:dyDescent="0.4">
      <c r="B64" s="1128" t="s">
        <v>901</v>
      </c>
      <c r="C64" s="1129"/>
      <c r="D64" s="1119"/>
      <c r="E64" s="1120"/>
      <c r="F64" s="1121"/>
      <c r="G64" s="154" t="s">
        <v>902</v>
      </c>
      <c r="H64" s="1119"/>
      <c r="I64" s="1121"/>
      <c r="J64" s="1128" t="s">
        <v>903</v>
      </c>
      <c r="K64" s="1129"/>
      <c r="L64" s="1119"/>
      <c r="M64" s="1120"/>
      <c r="N64" s="1121"/>
    </row>
    <row r="65" spans="2:18" s="13" customFormat="1" ht="39.75" customHeight="1" thickBot="1" x14ac:dyDescent="0.4">
      <c r="B65" s="1249" t="s">
        <v>904</v>
      </c>
      <c r="C65" s="1250"/>
      <c r="D65" s="1119" t="s">
        <v>905</v>
      </c>
      <c r="E65" s="1120"/>
      <c r="F65" s="1120"/>
      <c r="G65" s="1120"/>
      <c r="H65" s="1120"/>
      <c r="I65" s="1120"/>
      <c r="J65" s="1120"/>
      <c r="K65" s="1120"/>
      <c r="L65" s="1120"/>
      <c r="M65" s="1120"/>
      <c r="N65" s="1121"/>
      <c r="O65" s="166" t="s">
        <v>906</v>
      </c>
      <c r="P65" s="166"/>
      <c r="Q65" s="166"/>
      <c r="R65" s="166"/>
    </row>
    <row r="66" spans="2:18" ht="23.5" customHeight="1" thickBot="1" x14ac:dyDescent="0.4">
      <c r="B66" s="1241" t="s">
        <v>907</v>
      </c>
      <c r="C66" s="1242"/>
      <c r="D66" s="1243"/>
      <c r="E66" s="1244"/>
      <c r="F66" s="1244"/>
      <c r="G66" s="1245"/>
    </row>
    <row r="67" spans="2:18" ht="40.5" customHeight="1" x14ac:dyDescent="0.35"/>
    <row r="68" spans="2:18" ht="37.5" customHeight="1" thickBot="1" x14ac:dyDescent="0.4">
      <c r="B68" s="1195" t="s">
        <v>908</v>
      </c>
      <c r="C68" s="1196"/>
      <c r="D68" s="1196"/>
      <c r="E68" s="1196"/>
      <c r="F68" s="1196"/>
      <c r="G68" s="1196"/>
      <c r="H68" s="1196"/>
      <c r="I68" s="1196"/>
      <c r="J68" s="1196"/>
      <c r="K68" s="1196"/>
      <c r="L68" s="1196"/>
      <c r="M68" s="1196"/>
      <c r="N68" s="1196"/>
    </row>
    <row r="69" spans="2:18" ht="15" customHeight="1" x14ac:dyDescent="0.35">
      <c r="B69" s="1174"/>
      <c r="C69" s="1175"/>
      <c r="D69" s="1175"/>
      <c r="E69" s="1175"/>
      <c r="F69" s="1175"/>
      <c r="G69" s="1176"/>
      <c r="H69" s="21"/>
      <c r="I69" s="22"/>
      <c r="J69" s="22"/>
      <c r="K69" s="22"/>
      <c r="L69" s="22"/>
      <c r="M69" s="22"/>
      <c r="N69" s="23"/>
    </row>
    <row r="70" spans="2:18" ht="15" customHeight="1" x14ac:dyDescent="0.35">
      <c r="B70" s="1177"/>
      <c r="C70" s="1178"/>
      <c r="D70" s="1178"/>
      <c r="E70" s="1178"/>
      <c r="F70" s="1178"/>
      <c r="G70" s="1179"/>
      <c r="H70" s="24"/>
      <c r="N70" s="25"/>
    </row>
    <row r="71" spans="2:18" ht="36.75" customHeight="1" x14ac:dyDescent="0.35">
      <c r="B71" s="1177"/>
      <c r="C71" s="1178"/>
      <c r="D71" s="1178"/>
      <c r="E71" s="1178"/>
      <c r="F71" s="1178"/>
      <c r="G71" s="1179"/>
      <c r="H71" s="24"/>
      <c r="N71" s="25"/>
    </row>
    <row r="72" spans="2:18" ht="15" customHeight="1" x14ac:dyDescent="0.35">
      <c r="B72" s="1177"/>
      <c r="C72" s="1178"/>
      <c r="D72" s="1178"/>
      <c r="E72" s="1178"/>
      <c r="F72" s="1178"/>
      <c r="G72" s="1179"/>
      <c r="H72" s="24"/>
      <c r="N72" s="25"/>
    </row>
    <row r="73" spans="2:18" ht="15" customHeight="1" x14ac:dyDescent="0.35">
      <c r="B73" s="1177"/>
      <c r="C73" s="1178"/>
      <c r="D73" s="1178"/>
      <c r="E73" s="1178"/>
      <c r="F73" s="1178"/>
      <c r="G73" s="1179"/>
      <c r="H73" s="24"/>
      <c r="N73" s="25"/>
    </row>
    <row r="74" spans="2:18" ht="15.75" customHeight="1" thickBot="1" x14ac:dyDescent="0.4">
      <c r="B74" s="1180"/>
      <c r="C74" s="1181"/>
      <c r="D74" s="1181"/>
      <c r="E74" s="1181"/>
      <c r="F74" s="1181"/>
      <c r="G74" s="1182"/>
      <c r="H74" s="26"/>
      <c r="I74" s="27"/>
      <c r="J74" s="27"/>
      <c r="K74" s="27"/>
      <c r="L74" s="27"/>
      <c r="M74" s="27"/>
      <c r="N74" s="28"/>
    </row>
    <row r="75" spans="2:18" ht="30" customHeight="1" thickBot="1" x14ac:dyDescent="0.4">
      <c r="B75" s="1183" t="s">
        <v>909</v>
      </c>
      <c r="C75" s="1184"/>
      <c r="D75" s="1184"/>
      <c r="E75" s="1184"/>
      <c r="F75" s="1184"/>
      <c r="G75" s="1185"/>
      <c r="H75" s="803" t="s">
        <v>910</v>
      </c>
      <c r="I75" s="245" t="str">
        <f>+Indice!W21</f>
        <v>ACB</v>
      </c>
      <c r="J75" s="795"/>
      <c r="K75" s="795"/>
      <c r="L75" s="795"/>
      <c r="M75" s="795"/>
      <c r="N75" s="153"/>
    </row>
    <row r="76" spans="2:18" s="29" customFormat="1" ht="31.5" customHeight="1" thickBot="1" x14ac:dyDescent="0.4">
      <c r="B76" s="1186" t="s">
        <v>911</v>
      </c>
      <c r="C76" s="1187"/>
      <c r="D76" s="1187"/>
      <c r="E76" s="1187"/>
      <c r="F76" s="1187"/>
      <c r="G76" s="1188"/>
      <c r="H76" s="1186" t="s">
        <v>912</v>
      </c>
      <c r="I76" s="1187"/>
      <c r="J76" s="1187"/>
      <c r="K76" s="1187"/>
      <c r="L76" s="1187"/>
      <c r="M76" s="1187"/>
      <c r="N76" s="1188"/>
    </row>
    <row r="77" spans="2:18" ht="122.25" customHeight="1" x14ac:dyDescent="0.35">
      <c r="B77" s="1192" t="s">
        <v>913</v>
      </c>
      <c r="C77" s="1193"/>
      <c r="D77" s="1193"/>
      <c r="E77" s="1193"/>
      <c r="F77" s="1193"/>
      <c r="G77" s="1193"/>
      <c r="H77" s="1193"/>
      <c r="I77" s="1193"/>
      <c r="J77" s="1193"/>
      <c r="K77" s="1193"/>
      <c r="L77" s="1193"/>
      <c r="M77" s="1193"/>
      <c r="N77" s="1194"/>
      <c r="O77" s="1173" t="s">
        <v>914</v>
      </c>
      <c r="P77" s="1173"/>
      <c r="Q77" s="1173"/>
      <c r="R77" s="1173"/>
    </row>
    <row r="78" spans="2:18" ht="21.5" thickBot="1" x14ac:dyDescent="0.4">
      <c r="B78" s="163" t="s">
        <v>915</v>
      </c>
      <c r="C78" s="27"/>
      <c r="D78" s="27"/>
      <c r="E78" s="27"/>
      <c r="F78" s="27"/>
      <c r="G78" s="27"/>
      <c r="H78" s="27"/>
      <c r="I78" s="27"/>
      <c r="J78" s="27"/>
      <c r="K78" s="27"/>
      <c r="L78" s="27"/>
      <c r="M78" s="27"/>
      <c r="N78" s="28"/>
    </row>
    <row r="79" spans="2:18" x14ac:dyDescent="0.35">
      <c r="B79" s="30"/>
      <c r="R79" s="15" t="s">
        <v>587</v>
      </c>
    </row>
    <row r="80" spans="2:18" x14ac:dyDescent="0.35">
      <c r="B80" s="31"/>
    </row>
    <row r="81" spans="2:2" x14ac:dyDescent="0.35">
      <c r="B81" s="30"/>
    </row>
    <row r="82" spans="2:2" x14ac:dyDescent="0.35">
      <c r="B82" s="30"/>
    </row>
  </sheetData>
  <protectedRanges>
    <protectedRange sqref="H13:H16 F59 G64 G60 J59:J60" name="Tipo de Contribuyente_1_1_1_1_1_1"/>
  </protectedRanges>
  <mergeCells count="88">
    <mergeCell ref="O55:R55"/>
    <mergeCell ref="C56:N56"/>
    <mergeCell ref="B66:C66"/>
    <mergeCell ref="D66:G66"/>
    <mergeCell ref="B38:N38"/>
    <mergeCell ref="C54:N54"/>
    <mergeCell ref="B65:C65"/>
    <mergeCell ref="B63:N63"/>
    <mergeCell ref="D65:N65"/>
    <mergeCell ref="J64:K64"/>
    <mergeCell ref="B64:C64"/>
    <mergeCell ref="B60:E60"/>
    <mergeCell ref="J59:K59"/>
    <mergeCell ref="F60:I60"/>
    <mergeCell ref="M41:N41"/>
    <mergeCell ref="K52:N52"/>
    <mergeCell ref="C31:N31"/>
    <mergeCell ref="J24:K24"/>
    <mergeCell ref="J25:K25"/>
    <mergeCell ref="J26:K26"/>
    <mergeCell ref="B24:G24"/>
    <mergeCell ref="B25:G25"/>
    <mergeCell ref="C30:N30"/>
    <mergeCell ref="H26:I26"/>
    <mergeCell ref="H24:I24"/>
    <mergeCell ref="H25:I25"/>
    <mergeCell ref="B26:G26"/>
    <mergeCell ref="H39:L40"/>
    <mergeCell ref="F39:G40"/>
    <mergeCell ref="M39:N40"/>
    <mergeCell ref="H41:L41"/>
    <mergeCell ref="C34:N34"/>
    <mergeCell ref="B11:N11"/>
    <mergeCell ref="O77:R77"/>
    <mergeCell ref="B69:G74"/>
    <mergeCell ref="B75:G75"/>
    <mergeCell ref="B76:G76"/>
    <mergeCell ref="B28:N28"/>
    <mergeCell ref="B29:N29"/>
    <mergeCell ref="H76:N76"/>
    <mergeCell ref="B77:N77"/>
    <mergeCell ref="B68:N68"/>
    <mergeCell ref="B30:B34"/>
    <mergeCell ref="B62:N62"/>
    <mergeCell ref="B59:E59"/>
    <mergeCell ref="C32:N32"/>
    <mergeCell ref="C33:N33"/>
    <mergeCell ref="B39:E40"/>
    <mergeCell ref="A1:N1"/>
    <mergeCell ref="H16:I16"/>
    <mergeCell ref="J15:N15"/>
    <mergeCell ref="J16:N16"/>
    <mergeCell ref="J21:K21"/>
    <mergeCell ref="H13:I13"/>
    <mergeCell ref="J13:N13"/>
    <mergeCell ref="B20:N20"/>
    <mergeCell ref="H15:I15"/>
    <mergeCell ref="H14:I14"/>
    <mergeCell ref="B19:N19"/>
    <mergeCell ref="B6:N6"/>
    <mergeCell ref="B10:N10"/>
    <mergeCell ref="H12:I12"/>
    <mergeCell ref="J8:N8"/>
    <mergeCell ref="J9:N9"/>
    <mergeCell ref="J22:K22"/>
    <mergeCell ref="J23:K23"/>
    <mergeCell ref="C12:G12"/>
    <mergeCell ref="C13:G13"/>
    <mergeCell ref="C14:G14"/>
    <mergeCell ref="C16:G16"/>
    <mergeCell ref="J12:N12"/>
    <mergeCell ref="J14:N14"/>
    <mergeCell ref="H21:I21"/>
    <mergeCell ref="H22:I22"/>
    <mergeCell ref="H23:I23"/>
    <mergeCell ref="B21:G21"/>
    <mergeCell ref="B22:G22"/>
    <mergeCell ref="B23:G23"/>
    <mergeCell ref="D15:G15"/>
    <mergeCell ref="C55:N55"/>
    <mergeCell ref="D64:F64"/>
    <mergeCell ref="H64:I64"/>
    <mergeCell ref="L64:N64"/>
    <mergeCell ref="F59:I59"/>
    <mergeCell ref="L59:N59"/>
    <mergeCell ref="L60:N60"/>
    <mergeCell ref="J60:K60"/>
    <mergeCell ref="B58:N58"/>
  </mergeCells>
  <pageMargins left="0.23622047244094491" right="0.23622047244094491" top="0.74803149606299213" bottom="0.74803149606299213" header="0.31496062992125984" footer="0.19685039370078741"/>
  <pageSetup scale="45" fitToHeight="0" orientation="portrait" horizontalDpi="1200" verticalDpi="1200" r:id="rId1"/>
  <headerFooter>
    <oddFooter>&amp;CPágina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7D1826F-E161-4DBA-9F79-7F6799A1B4C6}">
          <x14:formula1>
            <xm:f>Hoja1!$A$7:$A$12</xm:f>
          </x14:formula1>
          <xm:sqref>D65</xm:sqref>
        </x14:dataValidation>
        <x14:dataValidation type="list" allowBlank="1" showInputMessage="1" showErrorMessage="1" xr:uid="{1D99674A-5DD5-4733-8B11-AEDCADC6242D}">
          <x14:formula1>
            <xm:f>Indicadores!$A$6:$A$14</xm:f>
          </x14:formula1>
          <xm:sqref>C55:N55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572C7-1922-4030-B0A4-FDA17EBB66B0}">
  <sheetPr>
    <tabColor theme="0" tint="-0.499984740745262"/>
    <pageSetUpPr fitToPage="1"/>
  </sheetPr>
  <dimension ref="A1:R39"/>
  <sheetViews>
    <sheetView showGridLines="0" topLeftCell="A16" zoomScale="90" zoomScaleNormal="90" zoomScaleSheetLayoutView="70" workbookViewId="0">
      <selection activeCell="H21" sqref="H21"/>
    </sheetView>
  </sheetViews>
  <sheetFormatPr baseColWidth="10" defaultColWidth="11.453125" defaultRowHeight="14.5" x14ac:dyDescent="0.35"/>
  <cols>
    <col min="1" max="1" width="8.54296875" style="13" customWidth="1"/>
    <col min="2" max="2" width="38" style="13" customWidth="1"/>
    <col min="3" max="7" width="7.54296875" style="13" customWidth="1"/>
    <col min="8" max="9" width="15" style="13" customWidth="1"/>
    <col min="10" max="12" width="10.81640625" style="13" customWidth="1"/>
    <col min="13" max="16384" width="11.453125" style="13"/>
  </cols>
  <sheetData>
    <row r="1" spans="1:14" s="15" customFormat="1" ht="102.75" customHeight="1" x14ac:dyDescent="0.35">
      <c r="A1" s="1163" t="s">
        <v>916</v>
      </c>
      <c r="B1" s="1163"/>
      <c r="C1" s="1163"/>
      <c r="D1" s="1163"/>
      <c r="E1" s="1163"/>
      <c r="F1" s="1163"/>
      <c r="G1" s="1163"/>
      <c r="H1" s="1163"/>
      <c r="I1" s="1163"/>
      <c r="J1" s="1163"/>
      <c r="K1" s="1163"/>
      <c r="L1" s="1163"/>
      <c r="M1" s="133"/>
      <c r="N1" s="133"/>
    </row>
    <row r="4" spans="1:14" x14ac:dyDescent="0.35">
      <c r="J4" s="14" t="s">
        <v>853</v>
      </c>
    </row>
    <row r="5" spans="1:14" ht="21" x14ac:dyDescent="0.35">
      <c r="J5" s="20" t="s">
        <v>854</v>
      </c>
    </row>
    <row r="7" spans="1:14" ht="42" customHeight="1" x14ac:dyDescent="0.35">
      <c r="B7" s="1298" t="s">
        <v>917</v>
      </c>
      <c r="C7" s="1298"/>
      <c r="D7" s="1298"/>
      <c r="E7" s="1298"/>
      <c r="F7" s="1298"/>
      <c r="G7" s="1298"/>
      <c r="H7" s="1298"/>
      <c r="I7" s="1298"/>
      <c r="J7" s="1298"/>
      <c r="K7" s="1298"/>
      <c r="L7" s="1298"/>
    </row>
    <row r="8" spans="1:14" ht="22.5" customHeight="1" x14ac:dyDescent="0.35">
      <c r="B8" s="3"/>
      <c r="C8" s="4"/>
      <c r="D8" s="4"/>
      <c r="E8" s="4"/>
      <c r="F8" s="4"/>
      <c r="G8" s="4"/>
      <c r="H8" s="4"/>
      <c r="I8" s="15"/>
      <c r="J8" s="4"/>
      <c r="K8" s="4"/>
      <c r="L8" s="4"/>
    </row>
    <row r="9" spans="1:14" ht="21.75" customHeight="1" thickBot="1" x14ac:dyDescent="0.4">
      <c r="B9" s="1299"/>
      <c r="C9" s="1299"/>
      <c r="D9" s="15"/>
      <c r="E9" s="15"/>
      <c r="F9" s="15"/>
      <c r="G9" s="15"/>
      <c r="H9" s="15"/>
      <c r="I9" s="15"/>
      <c r="J9" s="15"/>
      <c r="K9" s="15"/>
      <c r="L9" s="15"/>
    </row>
    <row r="10" spans="1:14" ht="45" customHeight="1" thickBot="1" x14ac:dyDescent="0.4">
      <c r="B10" s="1262" t="s">
        <v>858</v>
      </c>
      <c r="C10" s="1263"/>
      <c r="D10" s="1263"/>
      <c r="E10" s="1263"/>
      <c r="F10" s="1263"/>
      <c r="G10" s="1263"/>
      <c r="H10" s="1263"/>
      <c r="I10" s="1263"/>
      <c r="J10" s="1263"/>
      <c r="K10" s="1263"/>
      <c r="L10" s="1264"/>
    </row>
    <row r="11" spans="1:14" ht="76.5" customHeight="1" thickBot="1" x14ac:dyDescent="0.4">
      <c r="B11" s="1167" t="s">
        <v>918</v>
      </c>
      <c r="C11" s="1168"/>
      <c r="D11" s="1168"/>
      <c r="E11" s="1168"/>
      <c r="F11" s="1168"/>
      <c r="G11" s="1168"/>
      <c r="H11" s="1168"/>
      <c r="I11" s="1168"/>
      <c r="J11" s="1168"/>
      <c r="K11" s="1168"/>
      <c r="L11" s="1169"/>
    </row>
    <row r="12" spans="1:14" ht="36" customHeight="1" thickBot="1" x14ac:dyDescent="0.4">
      <c r="B12" s="713" t="s">
        <v>860</v>
      </c>
      <c r="C12" s="1300" t="str">
        <f>+'1. V.Inicial- DX (Gestor)'!C12</f>
        <v>ABC</v>
      </c>
      <c r="D12" s="1301"/>
      <c r="E12" s="1301"/>
      <c r="F12" s="1301"/>
      <c r="G12" s="1301"/>
      <c r="H12" s="1301"/>
      <c r="I12" s="1301"/>
      <c r="J12" s="1301"/>
      <c r="K12" s="1301"/>
      <c r="L12" s="1302"/>
    </row>
    <row r="13" spans="1:14" ht="36" customHeight="1" thickBot="1" x14ac:dyDescent="0.4">
      <c r="B13" s="713" t="s">
        <v>861</v>
      </c>
      <c r="C13" s="1300">
        <f>+'1. V.Inicial- DX (Gestor)'!J12</f>
        <v>8</v>
      </c>
      <c r="D13" s="1301"/>
      <c r="E13" s="1301"/>
      <c r="F13" s="1301"/>
      <c r="G13" s="1301"/>
      <c r="H13" s="1301"/>
      <c r="I13" s="1301"/>
      <c r="J13" s="1301"/>
      <c r="K13" s="1301"/>
      <c r="L13" s="1302"/>
    </row>
    <row r="14" spans="1:14" ht="36" customHeight="1" thickBot="1" x14ac:dyDescent="0.4">
      <c r="B14" s="6" t="s">
        <v>919</v>
      </c>
      <c r="C14" s="1300" t="str">
        <f>+'1. V.Inicial- DX (Gestor)'!J14</f>
        <v>Medellín</v>
      </c>
      <c r="D14" s="1301"/>
      <c r="E14" s="1301"/>
      <c r="F14" s="1301"/>
      <c r="G14" s="1301"/>
      <c r="H14" s="1301"/>
      <c r="I14" s="1301"/>
      <c r="J14" s="1301"/>
      <c r="K14" s="1301"/>
      <c r="L14" s="1302"/>
    </row>
    <row r="15" spans="1:14" ht="36" customHeight="1" thickBot="1" x14ac:dyDescent="0.4">
      <c r="B15" s="96" t="s">
        <v>920</v>
      </c>
      <c r="C15" s="1300" t="str">
        <f>+'1. V.Inicial- DX (Gestor)'!C55:N55</f>
        <v>Productividad operacional</v>
      </c>
      <c r="D15" s="1301"/>
      <c r="E15" s="1301"/>
      <c r="F15" s="1301"/>
      <c r="G15" s="1301"/>
      <c r="H15" s="1301"/>
      <c r="I15" s="1301"/>
      <c r="J15" s="1301"/>
      <c r="K15" s="1301"/>
      <c r="L15" s="1302"/>
    </row>
    <row r="16" spans="1:14" ht="40.5" customHeight="1" thickBot="1" x14ac:dyDescent="0.4">
      <c r="B16" s="97"/>
      <c r="C16" s="97"/>
      <c r="D16" s="14"/>
      <c r="E16" s="14"/>
      <c r="F16" s="14"/>
      <c r="G16" s="14"/>
      <c r="J16" s="14"/>
      <c r="K16" s="14"/>
      <c r="L16" s="14"/>
    </row>
    <row r="17" spans="2:18" ht="32.25" customHeight="1" thickBot="1" x14ac:dyDescent="0.4">
      <c r="B17" s="1287" t="s">
        <v>921</v>
      </c>
      <c r="C17" s="1288"/>
      <c r="D17" s="1263"/>
      <c r="E17" s="1263"/>
      <c r="F17" s="1263"/>
      <c r="G17" s="1263"/>
      <c r="H17" s="1263"/>
      <c r="I17" s="1263"/>
      <c r="J17" s="1263"/>
      <c r="K17" s="1263"/>
      <c r="L17" s="1264"/>
    </row>
    <row r="18" spans="2:18" ht="38.15" customHeight="1" thickBot="1" x14ac:dyDescent="0.4">
      <c r="B18" s="98" t="s">
        <v>922</v>
      </c>
      <c r="C18" s="1295"/>
      <c r="D18" s="1296"/>
      <c r="E18" s="1296"/>
      <c r="F18" s="1296"/>
      <c r="G18" s="1296"/>
      <c r="H18" s="1296"/>
      <c r="I18" s="1296"/>
      <c r="J18" s="1296"/>
      <c r="K18" s="1296"/>
      <c r="L18" s="1297"/>
    </row>
    <row r="19" spans="2:18" ht="43.5" customHeight="1" thickBot="1" x14ac:dyDescent="0.4">
      <c r="B19" s="101" t="s">
        <v>923</v>
      </c>
      <c r="C19" s="1276"/>
      <c r="D19" s="1277"/>
      <c r="E19" s="1277"/>
      <c r="F19" s="1277"/>
      <c r="G19" s="1278"/>
      <c r="H19" s="1274" t="s">
        <v>924</v>
      </c>
      <c r="I19" s="1275"/>
      <c r="J19" s="1300"/>
      <c r="K19" s="1301"/>
      <c r="L19" s="1302"/>
    </row>
    <row r="20" spans="2:18" ht="38.25" customHeight="1" thickBot="1" x14ac:dyDescent="0.4">
      <c r="B20" s="98" t="s">
        <v>925</v>
      </c>
      <c r="C20" s="93"/>
      <c r="D20" s="95"/>
      <c r="E20" s="95"/>
      <c r="F20" s="95"/>
      <c r="G20" s="95"/>
      <c r="H20" s="1274" t="s">
        <v>903</v>
      </c>
      <c r="I20" s="1275"/>
      <c r="J20" s="1300"/>
      <c r="K20" s="1301"/>
      <c r="L20" s="1302"/>
    </row>
    <row r="21" spans="2:18" ht="39.75" customHeight="1" thickBot="1" x14ac:dyDescent="0.4">
      <c r="B21" s="102" t="s">
        <v>926</v>
      </c>
      <c r="C21" s="93"/>
      <c r="D21" s="94"/>
      <c r="E21" s="94"/>
      <c r="F21" s="99"/>
      <c r="G21" s="99"/>
      <c r="H21" s="99"/>
      <c r="I21" s="99"/>
      <c r="J21" s="99"/>
      <c r="K21" s="99"/>
      <c r="L21" s="100"/>
    </row>
    <row r="22" spans="2:18" ht="39.75" customHeight="1" thickBot="1" x14ac:dyDescent="0.4">
      <c r="B22" s="102" t="s">
        <v>927</v>
      </c>
      <c r="C22" s="1282"/>
      <c r="D22" s="1283"/>
      <c r="E22" s="1283"/>
      <c r="F22" s="99"/>
      <c r="G22" s="99"/>
      <c r="H22" s="99"/>
      <c r="I22" s="99"/>
      <c r="J22" s="99"/>
      <c r="K22" s="99"/>
      <c r="L22" s="100"/>
    </row>
    <row r="23" spans="2:18" ht="40.5" customHeight="1" x14ac:dyDescent="0.35">
      <c r="B23" s="1287" t="s">
        <v>928</v>
      </c>
      <c r="C23" s="1288"/>
      <c r="D23" s="1263"/>
      <c r="E23" s="1263"/>
      <c r="F23" s="1263"/>
      <c r="G23" s="1263"/>
      <c r="H23" s="1263"/>
      <c r="I23" s="1263"/>
      <c r="J23" s="1263"/>
      <c r="K23" s="1263"/>
      <c r="L23" s="1264"/>
    </row>
    <row r="24" spans="2:18" ht="62.25" customHeight="1" x14ac:dyDescent="0.35">
      <c r="B24" s="96" t="s">
        <v>929</v>
      </c>
      <c r="C24" s="93">
        <v>50</v>
      </c>
      <c r="D24" s="94"/>
      <c r="E24" s="94"/>
      <c r="F24" s="94"/>
      <c r="G24" s="94"/>
      <c r="H24" s="1274" t="s">
        <v>930</v>
      </c>
      <c r="I24" s="1275"/>
      <c r="J24" s="1292">
        <f>+C24*J25</f>
        <v>9250000</v>
      </c>
      <c r="K24" s="1293"/>
      <c r="L24" s="1294"/>
    </row>
    <row r="25" spans="2:18" ht="66.75" customHeight="1" x14ac:dyDescent="0.35">
      <c r="B25" s="875" t="s">
        <v>931</v>
      </c>
      <c r="C25" s="1279"/>
      <c r="D25" s="1280"/>
      <c r="E25" s="1280"/>
      <c r="F25" s="1280"/>
      <c r="G25" s="1281"/>
      <c r="H25" s="1274" t="s">
        <v>932</v>
      </c>
      <c r="I25" s="1275"/>
      <c r="J25" s="1279">
        <v>185000</v>
      </c>
      <c r="K25" s="1280"/>
      <c r="L25" s="1281"/>
    </row>
    <row r="26" spans="2:18" ht="220.5" customHeight="1" thickBot="1" x14ac:dyDescent="0.4">
      <c r="B26" s="10" t="s">
        <v>933</v>
      </c>
      <c r="C26" s="1289"/>
      <c r="D26" s="1290"/>
      <c r="E26" s="1290"/>
      <c r="F26" s="1290"/>
      <c r="G26" s="1290"/>
      <c r="H26" s="1290"/>
      <c r="I26" s="1290"/>
      <c r="J26" s="1290"/>
      <c r="K26" s="1290"/>
      <c r="L26" s="1291"/>
    </row>
    <row r="27" spans="2:18" ht="192.75" customHeight="1" thickBot="1" x14ac:dyDescent="0.4">
      <c r="B27" s="10" t="s">
        <v>934</v>
      </c>
      <c r="C27" s="1289"/>
      <c r="D27" s="1290"/>
      <c r="E27" s="1290"/>
      <c r="F27" s="1290"/>
      <c r="G27" s="1290"/>
      <c r="H27" s="1290"/>
      <c r="I27" s="1290"/>
      <c r="J27" s="1290"/>
      <c r="K27" s="1290"/>
      <c r="L27" s="1291"/>
      <c r="R27" s="13" t="s">
        <v>587</v>
      </c>
    </row>
    <row r="28" spans="2:18" ht="192.75" customHeight="1" thickBot="1" x14ac:dyDescent="0.4">
      <c r="B28" s="10" t="s">
        <v>935</v>
      </c>
      <c r="C28" s="1289"/>
      <c r="D28" s="1290"/>
      <c r="E28" s="1290"/>
      <c r="F28" s="1290"/>
      <c r="G28" s="1290"/>
      <c r="H28" s="1290"/>
      <c r="I28" s="1290"/>
      <c r="J28" s="1290"/>
      <c r="K28" s="1290"/>
      <c r="L28" s="1291"/>
    </row>
    <row r="29" spans="2:18" ht="27.75" customHeight="1" thickBot="1" x14ac:dyDescent="0.4">
      <c r="B29" s="1284" t="s">
        <v>936</v>
      </c>
      <c r="C29" s="1285"/>
      <c r="D29" s="1285"/>
      <c r="E29" s="1285"/>
      <c r="F29" s="1285"/>
      <c r="G29" s="1285"/>
      <c r="H29" s="1285"/>
      <c r="I29" s="1285"/>
      <c r="J29" s="1285"/>
      <c r="K29" s="1285"/>
      <c r="L29" s="1286"/>
    </row>
    <row r="30" spans="2:18" ht="15" thickBot="1" x14ac:dyDescent="0.4"/>
    <row r="31" spans="2:18" ht="37.5" customHeight="1" thickBot="1" x14ac:dyDescent="0.4">
      <c r="B31" s="1262" t="s">
        <v>937</v>
      </c>
      <c r="C31" s="1263"/>
      <c r="D31" s="1263"/>
      <c r="E31" s="1263"/>
      <c r="F31" s="1263"/>
      <c r="G31" s="1263"/>
      <c r="H31" s="1263"/>
      <c r="I31" s="1263"/>
      <c r="J31" s="1263"/>
      <c r="K31" s="1263"/>
      <c r="L31" s="1264"/>
    </row>
    <row r="32" spans="2:18" ht="15" customHeight="1" x14ac:dyDescent="0.35">
      <c r="B32" s="1265"/>
      <c r="C32" s="1266"/>
      <c r="D32" s="1266"/>
      <c r="E32" s="1266"/>
      <c r="F32" s="1266"/>
      <c r="G32" s="1266"/>
      <c r="H32" s="1266"/>
      <c r="I32" s="1266"/>
      <c r="J32" s="1266"/>
      <c r="K32" s="1266"/>
      <c r="L32" s="1267"/>
    </row>
    <row r="33" spans="2:14" ht="15" customHeight="1" x14ac:dyDescent="0.35">
      <c r="B33" s="1268"/>
      <c r="C33" s="1269"/>
      <c r="D33" s="1269"/>
      <c r="E33" s="1269"/>
      <c r="F33" s="1269"/>
      <c r="G33" s="1269"/>
      <c r="H33" s="1269"/>
      <c r="I33" s="1269"/>
      <c r="J33" s="1269"/>
      <c r="K33" s="1269"/>
      <c r="L33" s="1270"/>
    </row>
    <row r="34" spans="2:14" ht="15" customHeight="1" x14ac:dyDescent="0.35">
      <c r="B34" s="1268"/>
      <c r="C34" s="1269"/>
      <c r="D34" s="1269"/>
      <c r="E34" s="1269"/>
      <c r="F34" s="1269"/>
      <c r="G34" s="1269"/>
      <c r="H34" s="1269"/>
      <c r="I34" s="1269"/>
      <c r="J34" s="1269"/>
      <c r="K34" s="1269"/>
      <c r="L34" s="1270"/>
    </row>
    <row r="35" spans="2:14" ht="15" customHeight="1" x14ac:dyDescent="0.35">
      <c r="B35" s="1268"/>
      <c r="C35" s="1269"/>
      <c r="D35" s="1269"/>
      <c r="E35" s="1269"/>
      <c r="F35" s="1269"/>
      <c r="G35" s="1269"/>
      <c r="H35" s="1269"/>
      <c r="I35" s="1269"/>
      <c r="J35" s="1269"/>
      <c r="K35" s="1269"/>
      <c r="L35" s="1270"/>
    </row>
    <row r="36" spans="2:14" ht="15.75" customHeight="1" thickBot="1" x14ac:dyDescent="0.4">
      <c r="B36" s="1271"/>
      <c r="C36" s="1272"/>
      <c r="D36" s="1272"/>
      <c r="E36" s="1272"/>
      <c r="F36" s="1272"/>
      <c r="G36" s="1272"/>
      <c r="H36" s="1272"/>
      <c r="I36" s="1272"/>
      <c r="J36" s="1272"/>
      <c r="K36" s="1272"/>
      <c r="L36" s="1273"/>
    </row>
    <row r="37" spans="2:14" s="90" customFormat="1" ht="31.5" customHeight="1" thickBot="1" x14ac:dyDescent="0.4">
      <c r="B37" s="117" t="s">
        <v>910</v>
      </c>
      <c r="C37" s="118"/>
      <c r="D37" s="118"/>
      <c r="E37" s="118"/>
      <c r="F37" s="118"/>
      <c r="G37" s="118"/>
      <c r="H37" s="118"/>
      <c r="I37" s="118"/>
      <c r="J37" s="118"/>
      <c r="K37" s="118"/>
      <c r="L37" s="119"/>
      <c r="M37" s="13"/>
      <c r="N37" s="13"/>
    </row>
    <row r="38" spans="2:14" s="90" customFormat="1" ht="31.5" customHeight="1" thickBot="1" x14ac:dyDescent="0.4">
      <c r="B38" s="1258" t="s">
        <v>938</v>
      </c>
      <c r="C38" s="1259"/>
      <c r="D38" s="1259"/>
      <c r="E38" s="1259"/>
      <c r="F38" s="1259"/>
      <c r="G38" s="1259"/>
      <c r="H38" s="1259"/>
      <c r="I38" s="1259"/>
      <c r="J38" s="1259"/>
      <c r="K38" s="1259"/>
      <c r="L38" s="1260"/>
      <c r="M38" s="13"/>
      <c r="N38" s="13"/>
    </row>
    <row r="39" spans="2:14" ht="23.5" customHeight="1" x14ac:dyDescent="0.35">
      <c r="B39" s="1261" t="s">
        <v>939</v>
      </c>
      <c r="C39" s="1261"/>
      <c r="D39" s="1261"/>
      <c r="E39" s="1261"/>
      <c r="F39" s="1261"/>
      <c r="G39" s="1261"/>
      <c r="H39" s="1261"/>
      <c r="I39" s="1261"/>
      <c r="J39" s="1261"/>
      <c r="K39" s="1261"/>
      <c r="L39" s="1261"/>
    </row>
  </sheetData>
  <protectedRanges>
    <protectedRange sqref="C14:L14" name="Rango3"/>
    <protectedRange sqref="C18:L18" name="Rango1"/>
    <protectedRange sqref="B18:L36" name="Rango2"/>
  </protectedRanges>
  <mergeCells count="31">
    <mergeCell ref="H24:I24"/>
    <mergeCell ref="J24:L24"/>
    <mergeCell ref="C18:L18"/>
    <mergeCell ref="A1:L1"/>
    <mergeCell ref="B7:L7"/>
    <mergeCell ref="B9:C9"/>
    <mergeCell ref="B10:L10"/>
    <mergeCell ref="B17:L17"/>
    <mergeCell ref="C12:L12"/>
    <mergeCell ref="C15:L15"/>
    <mergeCell ref="B11:L11"/>
    <mergeCell ref="C13:L13"/>
    <mergeCell ref="C14:L14"/>
    <mergeCell ref="J20:L20"/>
    <mergeCell ref="J19:L19"/>
    <mergeCell ref="B38:L38"/>
    <mergeCell ref="B39:L39"/>
    <mergeCell ref="B31:L31"/>
    <mergeCell ref="B32:L36"/>
    <mergeCell ref="H19:I19"/>
    <mergeCell ref="H20:I20"/>
    <mergeCell ref="C19:G19"/>
    <mergeCell ref="H25:I25"/>
    <mergeCell ref="C25:G25"/>
    <mergeCell ref="J25:L25"/>
    <mergeCell ref="C22:E22"/>
    <mergeCell ref="B29:L29"/>
    <mergeCell ref="B23:L23"/>
    <mergeCell ref="C26:L26"/>
    <mergeCell ref="C27:L27"/>
    <mergeCell ref="C28:L28"/>
  </mergeCells>
  <pageMargins left="0.23622047244094491" right="0.23622047244094491" top="0.74803149606299213" bottom="0.74803149606299213" header="0.31496062992125984" footer="0.31496062992125984"/>
  <pageSetup scale="71" fitToHeight="0" orientation="portrait" horizontalDpi="1200" verticalDpi="1200" r:id="rId1"/>
  <headerFooter>
    <oddFooter>Página &amp;P&amp;R</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1C823C6-9576-456A-BAE4-12A0FA7AC0B7}">
          <x14:formula1>
            <xm:f>Hoja1!$A$15:$A$16</xm:f>
          </x14:formula1>
          <xm:sqref>J20:L20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0" tint="-0.499984740745262"/>
    <pageSetUpPr fitToPage="1"/>
  </sheetPr>
  <dimension ref="A1:P149"/>
  <sheetViews>
    <sheetView showGridLines="0" topLeftCell="J106" zoomScale="60" zoomScaleNormal="60" zoomScaleSheetLayoutView="50" workbookViewId="0">
      <selection activeCell="C114" sqref="C114"/>
    </sheetView>
  </sheetViews>
  <sheetFormatPr baseColWidth="10" defaultColWidth="11.453125" defaultRowHeight="21" x14ac:dyDescent="0.35"/>
  <cols>
    <col min="1" max="1" width="8.54296875" style="15" customWidth="1"/>
    <col min="2" max="2" width="6.1796875" style="15" customWidth="1"/>
    <col min="3" max="3" width="51.26953125" style="33" customWidth="1"/>
    <col min="4" max="5" width="16.1796875" style="15" customWidth="1"/>
    <col min="6" max="7" width="14.54296875" style="15" customWidth="1"/>
    <col min="8" max="11" width="17.81640625" style="15" customWidth="1"/>
    <col min="12" max="12" width="22.81640625" style="15" customWidth="1"/>
    <col min="13" max="13" width="20.453125" style="15" customWidth="1"/>
    <col min="14" max="14" width="26.81640625" style="15" customWidth="1"/>
    <col min="15" max="15" width="22.81640625" style="15" customWidth="1"/>
    <col min="16" max="16" width="20.7265625" style="15" customWidth="1"/>
    <col min="17" max="16384" width="11.453125" style="15"/>
  </cols>
  <sheetData>
    <row r="1" spans="1:16" ht="70.5" customHeight="1" x14ac:dyDescent="0.35">
      <c r="A1" s="1359" t="s">
        <v>916</v>
      </c>
      <c r="B1" s="1359"/>
      <c r="C1" s="1359"/>
      <c r="D1" s="1359"/>
      <c r="E1" s="1359"/>
      <c r="F1" s="1359"/>
      <c r="G1" s="1359"/>
      <c r="H1" s="1359"/>
      <c r="I1" s="1359"/>
      <c r="J1" s="1359"/>
      <c r="K1" s="1359"/>
      <c r="L1" s="1359"/>
      <c r="M1" s="1359"/>
      <c r="N1" s="133"/>
    </row>
    <row r="4" spans="1:16" x14ac:dyDescent="0.35">
      <c r="K4" s="20" t="s">
        <v>853</v>
      </c>
    </row>
    <row r="5" spans="1:16" x14ac:dyDescent="0.35">
      <c r="K5" s="20" t="s">
        <v>854</v>
      </c>
    </row>
    <row r="7" spans="1:16" ht="42" customHeight="1" x14ac:dyDescent="0.35">
      <c r="B7" s="1407" t="s">
        <v>940</v>
      </c>
      <c r="C7" s="1407"/>
      <c r="D7" s="1407"/>
      <c r="E7" s="1407"/>
      <c r="F7" s="1407"/>
      <c r="G7" s="1407"/>
      <c r="H7" s="1407"/>
      <c r="I7" s="1407"/>
      <c r="J7" s="1407"/>
      <c r="K7" s="1407"/>
      <c r="L7" s="1407"/>
      <c r="M7" s="1407"/>
    </row>
    <row r="8" spans="1:16" ht="22.5" customHeight="1" x14ac:dyDescent="0.35">
      <c r="B8" s="3" t="s">
        <v>941</v>
      </c>
      <c r="C8" s="11"/>
      <c r="D8" s="4"/>
      <c r="E8" s="4"/>
      <c r="F8" s="4"/>
      <c r="G8" s="4"/>
      <c r="H8" s="4"/>
      <c r="I8" s="4"/>
      <c r="K8" s="4"/>
      <c r="L8" s="4"/>
      <c r="M8" s="4"/>
    </row>
    <row r="9" spans="1:16" ht="21.5" thickBot="1" x14ac:dyDescent="0.4">
      <c r="B9" s="1414" t="str">
        <f>+'1. V.Inicial- DX (Gestor)'!B9</f>
        <v>Versión 1: 08/06/2020</v>
      </c>
      <c r="C9" s="1414"/>
      <c r="L9" s="1352"/>
      <c r="M9" s="1352"/>
      <c r="P9" s="20"/>
    </row>
    <row r="10" spans="1:16" ht="45" customHeight="1" thickBot="1" x14ac:dyDescent="0.4">
      <c r="B10" s="1170" t="s">
        <v>858</v>
      </c>
      <c r="C10" s="1132"/>
      <c r="D10" s="1132"/>
      <c r="E10" s="1132"/>
      <c r="F10" s="1132"/>
      <c r="G10" s="1132"/>
      <c r="H10" s="1132"/>
      <c r="I10" s="1132"/>
      <c r="J10" s="1132"/>
      <c r="K10" s="1132"/>
      <c r="L10" s="1132"/>
      <c r="M10" s="1133"/>
    </row>
    <row r="11" spans="1:16" ht="70.5" customHeight="1" thickBot="1" x14ac:dyDescent="0.4">
      <c r="B11" s="1390" t="s">
        <v>942</v>
      </c>
      <c r="C11" s="1391"/>
      <c r="D11" s="1391"/>
      <c r="E11" s="1391"/>
      <c r="F11" s="1391"/>
      <c r="G11" s="1391"/>
      <c r="H11" s="1391"/>
      <c r="I11" s="1391"/>
      <c r="J11" s="1391"/>
      <c r="K11" s="1391"/>
      <c r="L11" s="1391"/>
      <c r="M11" s="1408"/>
    </row>
    <row r="12" spans="1:16" ht="50.25" customHeight="1" thickBot="1" x14ac:dyDescent="0.4">
      <c r="B12" s="1374" t="s">
        <v>860</v>
      </c>
      <c r="C12" s="1375"/>
      <c r="D12" s="1376" t="str">
        <f>+'1. V.Inicial- DX (Gestor)'!C12</f>
        <v>ABC</v>
      </c>
      <c r="E12" s="1377"/>
      <c r="F12" s="1377"/>
      <c r="G12" s="1377"/>
      <c r="H12" s="1378"/>
      <c r="I12" s="1379" t="s">
        <v>861</v>
      </c>
      <c r="J12" s="1380"/>
      <c r="K12" s="1376">
        <f>+'1. V.Inicial- DX (Gestor)'!J12</f>
        <v>8</v>
      </c>
      <c r="L12" s="1377"/>
      <c r="M12" s="1378"/>
    </row>
    <row r="13" spans="1:16" ht="50.25" customHeight="1" thickBot="1" x14ac:dyDescent="0.4">
      <c r="B13" s="1374" t="s">
        <v>943</v>
      </c>
      <c r="C13" s="1375"/>
      <c r="D13" s="1381">
        <v>44221</v>
      </c>
      <c r="E13" s="1423"/>
      <c r="F13" s="1423"/>
      <c r="G13" s="1423"/>
      <c r="H13" s="1424"/>
      <c r="I13" s="1398" t="s">
        <v>944</v>
      </c>
      <c r="J13" s="1399"/>
      <c r="K13" s="1381">
        <f>+D13+60</f>
        <v>44281</v>
      </c>
      <c r="L13" s="1382"/>
      <c r="M13" s="1383"/>
    </row>
    <row r="14" spans="1:16" ht="67.5" customHeight="1" thickBot="1" x14ac:dyDescent="0.4">
      <c r="B14" s="1379" t="s">
        <v>945</v>
      </c>
      <c r="C14" s="1375"/>
      <c r="D14" s="197" t="s">
        <v>946</v>
      </c>
      <c r="E14" s="198"/>
      <c r="F14" s="198"/>
      <c r="G14" s="198"/>
      <c r="H14" s="199"/>
      <c r="I14" s="1398" t="s">
        <v>947</v>
      </c>
      <c r="J14" s="1399"/>
      <c r="K14" s="1425"/>
      <c r="L14" s="1426"/>
      <c r="M14" s="1427"/>
    </row>
    <row r="15" spans="1:16" ht="51" customHeight="1" thickBot="1" x14ac:dyDescent="0.4">
      <c r="B15" s="1379" t="s">
        <v>948</v>
      </c>
      <c r="C15" s="1375"/>
      <c r="D15" s="197" t="s">
        <v>949</v>
      </c>
      <c r="E15" s="198"/>
      <c r="F15" s="198"/>
      <c r="G15" s="198"/>
      <c r="H15" s="199"/>
      <c r="I15" s="1379" t="s">
        <v>950</v>
      </c>
      <c r="J15" s="1380"/>
      <c r="K15" s="810"/>
      <c r="L15" s="811"/>
      <c r="M15" s="812"/>
    </row>
    <row r="16" spans="1:16" ht="50.25" customHeight="1" thickBot="1" x14ac:dyDescent="0.4">
      <c r="B16" s="1379" t="s">
        <v>920</v>
      </c>
      <c r="C16" s="1380"/>
      <c r="D16" s="757" t="str">
        <f>+'1. V.Inicial- DX (Gestor)'!$C$55</f>
        <v>Productividad operacional</v>
      </c>
      <c r="E16" s="758"/>
      <c r="F16" s="758"/>
      <c r="G16" s="758"/>
      <c r="H16" s="759"/>
      <c r="I16" s="1398" t="s">
        <v>951</v>
      </c>
      <c r="J16" s="1399"/>
      <c r="K16" s="1384">
        <v>50</v>
      </c>
      <c r="L16" s="1385"/>
      <c r="M16" s="1386"/>
    </row>
    <row r="17" spans="2:13" ht="50.25" customHeight="1" thickBot="1" x14ac:dyDescent="0.4">
      <c r="B17" s="1379" t="s">
        <v>952</v>
      </c>
      <c r="C17" s="1380"/>
      <c r="D17" s="1401">
        <f>+'1. V.Inicial- DX (Gestor)'!C13</f>
        <v>1</v>
      </c>
      <c r="E17" s="1402"/>
      <c r="F17" s="1402"/>
      <c r="G17" s="1402"/>
      <c r="H17" s="1403"/>
      <c r="I17" s="1398" t="s">
        <v>953</v>
      </c>
      <c r="J17" s="1399"/>
      <c r="K17" s="1404">
        <v>1000000</v>
      </c>
      <c r="L17" s="1405"/>
      <c r="M17" s="1406"/>
    </row>
    <row r="18" spans="2:13" ht="41.25" customHeight="1" thickBot="1" x14ac:dyDescent="0.4">
      <c r="B18" s="34"/>
      <c r="C18" s="34"/>
      <c r="D18" s="35"/>
      <c r="E18" s="35"/>
      <c r="F18" s="35"/>
      <c r="G18" s="35"/>
      <c r="H18" s="35"/>
      <c r="I18" s="35"/>
      <c r="J18" s="35"/>
      <c r="K18" s="35"/>
      <c r="L18" s="35"/>
      <c r="M18" s="35"/>
    </row>
    <row r="19" spans="2:13" ht="45" customHeight="1" thickBot="1" x14ac:dyDescent="0.4">
      <c r="B19" s="1170" t="s">
        <v>872</v>
      </c>
      <c r="C19" s="1132"/>
      <c r="D19" s="1132"/>
      <c r="E19" s="1132"/>
      <c r="F19" s="1132"/>
      <c r="G19" s="1132"/>
      <c r="H19" s="1132"/>
      <c r="I19" s="1132"/>
      <c r="J19" s="1132"/>
      <c r="K19" s="1132"/>
      <c r="L19" s="1132"/>
      <c r="M19" s="1133"/>
    </row>
    <row r="20" spans="2:13" ht="27" customHeight="1" thickBot="1" x14ac:dyDescent="0.4">
      <c r="B20" s="36" t="s">
        <v>954</v>
      </c>
      <c r="C20" s="37"/>
      <c r="D20" s="37"/>
      <c r="E20" s="37"/>
      <c r="F20" s="37"/>
      <c r="G20" s="37"/>
      <c r="H20" s="37"/>
      <c r="I20" s="37"/>
      <c r="J20" s="37"/>
      <c r="K20" s="37"/>
      <c r="L20" s="37"/>
      <c r="M20" s="38"/>
    </row>
    <row r="21" spans="2:13" s="9" customFormat="1" ht="37.5" customHeight="1" thickBot="1" x14ac:dyDescent="0.4">
      <c r="B21" s="1335" t="s">
        <v>874</v>
      </c>
      <c r="C21" s="1336"/>
      <c r="D21" s="1336"/>
      <c r="E21" s="1336"/>
      <c r="F21" s="1336"/>
      <c r="G21" s="1336"/>
      <c r="H21" s="1397"/>
      <c r="I21" s="1335" t="s">
        <v>875</v>
      </c>
      <c r="J21" s="1397"/>
      <c r="K21" s="1335" t="s">
        <v>876</v>
      </c>
      <c r="L21" s="1336"/>
      <c r="M21" s="1397"/>
    </row>
    <row r="22" spans="2:13" ht="36" customHeight="1" x14ac:dyDescent="0.35">
      <c r="B22" s="1156" t="s">
        <v>738</v>
      </c>
      <c r="C22" s="1157"/>
      <c r="D22" s="1157"/>
      <c r="E22" s="1157"/>
      <c r="F22" s="1157"/>
      <c r="G22" s="1157"/>
      <c r="H22" s="1400"/>
      <c r="I22" s="1415"/>
      <c r="J22" s="1416"/>
      <c r="K22" s="1417"/>
      <c r="L22" s="1418"/>
      <c r="M22" s="1419"/>
    </row>
    <row r="23" spans="2:13" ht="36" customHeight="1" x14ac:dyDescent="0.35">
      <c r="B23" s="1159" t="s">
        <v>740</v>
      </c>
      <c r="C23" s="1160"/>
      <c r="D23" s="1160"/>
      <c r="E23" s="1160"/>
      <c r="F23" s="1160"/>
      <c r="G23" s="1160"/>
      <c r="H23" s="1428"/>
      <c r="I23" s="1393"/>
      <c r="J23" s="1387"/>
      <c r="K23" s="1420"/>
      <c r="L23" s="1421"/>
      <c r="M23" s="1422"/>
    </row>
    <row r="24" spans="2:13" ht="36" customHeight="1" x14ac:dyDescent="0.35">
      <c r="B24" s="1159" t="s">
        <v>752</v>
      </c>
      <c r="C24" s="1160"/>
      <c r="D24" s="1160"/>
      <c r="E24" s="1160"/>
      <c r="F24" s="1160"/>
      <c r="G24" s="1160"/>
      <c r="H24" s="1428"/>
      <c r="I24" s="1393"/>
      <c r="J24" s="1387"/>
      <c r="K24" s="1420"/>
      <c r="L24" s="1421"/>
      <c r="M24" s="1422"/>
    </row>
    <row r="25" spans="2:13" ht="36" customHeight="1" thickBot="1" x14ac:dyDescent="0.4">
      <c r="B25" s="1235" t="s">
        <v>753</v>
      </c>
      <c r="C25" s="1236"/>
      <c r="D25" s="1236"/>
      <c r="E25" s="1236"/>
      <c r="F25" s="1236"/>
      <c r="G25" s="1236"/>
      <c r="H25" s="1429"/>
      <c r="I25" s="1409"/>
      <c r="J25" s="1410"/>
      <c r="K25" s="1411"/>
      <c r="L25" s="1412"/>
      <c r="M25" s="1413"/>
    </row>
    <row r="26" spans="2:13" ht="40.5" customHeight="1" thickBot="1" x14ac:dyDescent="0.4">
      <c r="B26" s="3"/>
      <c r="C26" s="11"/>
      <c r="D26" s="3"/>
      <c r="E26" s="20"/>
      <c r="F26" s="20"/>
      <c r="G26" s="20"/>
      <c r="H26" s="20"/>
      <c r="K26" s="20"/>
      <c r="L26" s="20"/>
      <c r="M26" s="20"/>
    </row>
    <row r="27" spans="2:13" ht="45" customHeight="1" thickBot="1" x14ac:dyDescent="0.4">
      <c r="B27" s="1130" t="s">
        <v>955</v>
      </c>
      <c r="C27" s="1131"/>
      <c r="D27" s="1131"/>
      <c r="E27" s="1132"/>
      <c r="F27" s="1132"/>
      <c r="G27" s="1132"/>
      <c r="H27" s="1132"/>
      <c r="I27" s="1132"/>
      <c r="J27" s="1132"/>
      <c r="K27" s="1132"/>
      <c r="L27" s="1132"/>
      <c r="M27" s="1133"/>
    </row>
    <row r="28" spans="2:13" ht="39.75" customHeight="1" x14ac:dyDescent="0.35">
      <c r="B28" s="1360" t="s">
        <v>956</v>
      </c>
      <c r="C28" s="1361"/>
      <c r="D28" s="1361"/>
      <c r="E28" s="1361"/>
      <c r="F28" s="1361"/>
      <c r="G28" s="1361"/>
      <c r="H28" s="1361"/>
      <c r="I28" s="1361"/>
      <c r="J28" s="1361"/>
      <c r="K28" s="1361"/>
      <c r="L28" s="1361"/>
      <c r="M28" s="1362"/>
    </row>
    <row r="29" spans="2:13" ht="48" customHeight="1" x14ac:dyDescent="0.35">
      <c r="B29" s="1394" t="s">
        <v>957</v>
      </c>
      <c r="C29" s="1394"/>
      <c r="D29" s="1394"/>
      <c r="E29" s="1394"/>
      <c r="F29" s="1394"/>
      <c r="G29" s="1394"/>
      <c r="H29" s="1394" t="s">
        <v>958</v>
      </c>
      <c r="I29" s="1394"/>
      <c r="J29" s="1394"/>
      <c r="K29" s="1394"/>
      <c r="L29" s="1394"/>
      <c r="M29" s="1394"/>
    </row>
    <row r="30" spans="2:13" ht="64" customHeight="1" x14ac:dyDescent="0.35">
      <c r="B30" s="1392"/>
      <c r="C30" s="1388"/>
      <c r="D30" s="1388"/>
      <c r="E30" s="1388"/>
      <c r="F30" s="1388"/>
      <c r="G30" s="1393"/>
      <c r="H30" s="1387"/>
      <c r="I30" s="1388"/>
      <c r="J30" s="1388"/>
      <c r="K30" s="1388"/>
      <c r="L30" s="1388"/>
      <c r="M30" s="1389"/>
    </row>
    <row r="31" spans="2:13" ht="64" customHeight="1" x14ac:dyDescent="0.35">
      <c r="B31" s="1392"/>
      <c r="C31" s="1388"/>
      <c r="D31" s="1388"/>
      <c r="E31" s="1388"/>
      <c r="F31" s="1388"/>
      <c r="G31" s="1393"/>
      <c r="H31" s="1387"/>
      <c r="I31" s="1388"/>
      <c r="J31" s="1388"/>
      <c r="K31" s="1388"/>
      <c r="L31" s="1388"/>
      <c r="M31" s="1389"/>
    </row>
    <row r="32" spans="2:13" ht="64" customHeight="1" x14ac:dyDescent="0.35">
      <c r="B32" s="1392"/>
      <c r="C32" s="1388"/>
      <c r="D32" s="1388"/>
      <c r="E32" s="1388"/>
      <c r="F32" s="1388"/>
      <c r="G32" s="1393"/>
      <c r="H32" s="1387"/>
      <c r="I32" s="1388"/>
      <c r="J32" s="1388"/>
      <c r="K32" s="1388"/>
      <c r="L32" s="1388"/>
      <c r="M32" s="1389"/>
    </row>
    <row r="33" spans="2:14" ht="64" customHeight="1" x14ac:dyDescent="0.35">
      <c r="B33" s="1392"/>
      <c r="C33" s="1388"/>
      <c r="D33" s="1388"/>
      <c r="E33" s="1388"/>
      <c r="F33" s="1388"/>
      <c r="G33" s="1393"/>
      <c r="H33" s="1387"/>
      <c r="I33" s="1388"/>
      <c r="J33" s="1388"/>
      <c r="K33" s="1388"/>
      <c r="L33" s="1388"/>
      <c r="M33" s="1389"/>
    </row>
    <row r="34" spans="2:14" ht="64" customHeight="1" x14ac:dyDescent="0.35">
      <c r="B34" s="1392"/>
      <c r="C34" s="1388"/>
      <c r="D34" s="1388"/>
      <c r="E34" s="1388"/>
      <c r="F34" s="1388"/>
      <c r="G34" s="1393"/>
      <c r="H34" s="1387"/>
      <c r="I34" s="1388"/>
      <c r="J34" s="1388"/>
      <c r="K34" s="1388"/>
      <c r="L34" s="1388"/>
      <c r="M34" s="1389"/>
    </row>
    <row r="35" spans="2:14" ht="21.75" customHeight="1" thickBot="1" x14ac:dyDescent="0.4">
      <c r="B35" s="1363"/>
      <c r="C35" s="1364"/>
      <c r="D35" s="1364"/>
      <c r="E35" s="1364"/>
      <c r="F35" s="1364"/>
      <c r="G35" s="1364"/>
      <c r="H35" s="1364"/>
      <c r="I35" s="1364"/>
      <c r="J35" s="1364"/>
      <c r="K35" s="1364"/>
      <c r="L35" s="1364"/>
      <c r="M35" s="1365"/>
    </row>
    <row r="36" spans="2:14" ht="83.25" customHeight="1" thickBot="1" x14ac:dyDescent="0.4">
      <c r="B36" s="1128" t="s">
        <v>959</v>
      </c>
      <c r="C36" s="1129"/>
      <c r="D36" s="1164" t="s">
        <v>960</v>
      </c>
      <c r="E36" s="1165"/>
      <c r="F36" s="1165"/>
      <c r="G36" s="1165"/>
      <c r="H36" s="1165"/>
      <c r="I36" s="1165"/>
      <c r="J36" s="1165"/>
      <c r="K36" s="1165"/>
      <c r="L36" s="1165"/>
      <c r="M36" s="1166"/>
    </row>
    <row r="37" spans="2:14" ht="81" customHeight="1" thickBot="1" x14ac:dyDescent="0.4">
      <c r="B37" s="1128" t="s">
        <v>961</v>
      </c>
      <c r="C37" s="1129"/>
      <c r="D37" s="1164" t="s">
        <v>962</v>
      </c>
      <c r="E37" s="1165"/>
      <c r="F37" s="1165"/>
      <c r="G37" s="1165"/>
      <c r="H37" s="1165"/>
      <c r="I37" s="1165"/>
      <c r="J37" s="1165"/>
      <c r="K37" s="1165"/>
      <c r="L37" s="1165"/>
      <c r="M37" s="1166"/>
    </row>
    <row r="38" spans="2:14" ht="58.5" customHeight="1" thickBot="1" x14ac:dyDescent="0.4">
      <c r="B38" s="1128" t="s">
        <v>963</v>
      </c>
      <c r="C38" s="1129"/>
      <c r="D38" s="1164" t="s">
        <v>964</v>
      </c>
      <c r="E38" s="1165"/>
      <c r="F38" s="1165"/>
      <c r="G38" s="1165"/>
      <c r="H38" s="1165"/>
      <c r="I38" s="1165"/>
      <c r="J38" s="1165"/>
      <c r="K38" s="1165"/>
      <c r="L38" s="1165"/>
      <c r="M38" s="1166"/>
    </row>
    <row r="39" spans="2:14" ht="58.5" customHeight="1" thickBot="1" x14ac:dyDescent="0.4">
      <c r="B39" s="1128" t="s">
        <v>965</v>
      </c>
      <c r="C39" s="1129"/>
      <c r="D39" s="1164" t="s">
        <v>966</v>
      </c>
      <c r="E39" s="1165"/>
      <c r="F39" s="1165"/>
      <c r="G39" s="1165"/>
      <c r="H39" s="1165"/>
      <c r="I39" s="1165"/>
      <c r="J39" s="1165"/>
      <c r="K39" s="1165"/>
      <c r="L39" s="1165"/>
      <c r="M39" s="1166"/>
    </row>
    <row r="40" spans="2:14" ht="20.5" customHeight="1" thickBot="1" x14ac:dyDescent="0.4">
      <c r="B40" s="35"/>
      <c r="C40" s="35"/>
      <c r="D40" s="39"/>
      <c r="E40" s="35"/>
      <c r="F40" s="35"/>
      <c r="G40" s="35"/>
      <c r="H40" s="35"/>
      <c r="I40" s="35"/>
      <c r="J40" s="35"/>
      <c r="K40" s="35"/>
      <c r="L40" s="35"/>
      <c r="M40" s="35"/>
    </row>
    <row r="41" spans="2:14" ht="57.75" customHeight="1" thickBot="1" x14ac:dyDescent="0.4">
      <c r="B41" s="1170" t="s">
        <v>967</v>
      </c>
      <c r="C41" s="1132"/>
      <c r="D41" s="1132"/>
      <c r="E41" s="1132"/>
      <c r="F41" s="1132"/>
      <c r="G41" s="1132"/>
      <c r="H41" s="1132"/>
      <c r="I41" s="1132"/>
      <c r="J41" s="1132"/>
      <c r="K41" s="1132"/>
      <c r="L41" s="1132"/>
      <c r="M41" s="1133"/>
    </row>
    <row r="42" spans="2:14" ht="93" customHeight="1" thickBot="1" x14ac:dyDescent="0.4">
      <c r="B42" s="1390" t="s">
        <v>968</v>
      </c>
      <c r="C42" s="1391"/>
      <c r="D42" s="1391"/>
      <c r="E42" s="1391"/>
      <c r="F42" s="1391"/>
      <c r="G42" s="1391"/>
      <c r="H42" s="1361"/>
      <c r="I42" s="1361"/>
      <c r="J42" s="1361"/>
      <c r="K42" s="1361"/>
      <c r="L42" s="1361"/>
      <c r="M42" s="1362"/>
    </row>
    <row r="43" spans="2:14" ht="56.25" customHeight="1" x14ac:dyDescent="0.35">
      <c r="B43" s="1366" t="s">
        <v>969</v>
      </c>
      <c r="C43" s="1367"/>
      <c r="D43" s="1366" t="s">
        <v>970</v>
      </c>
      <c r="E43" s="1367"/>
      <c r="F43" s="1366" t="s">
        <v>971</v>
      </c>
      <c r="G43" s="1372"/>
      <c r="H43" s="125" t="s">
        <v>972</v>
      </c>
      <c r="I43" s="714" t="s">
        <v>973</v>
      </c>
      <c r="J43" s="714" t="s">
        <v>974</v>
      </c>
      <c r="K43" s="714" t="s">
        <v>975</v>
      </c>
      <c r="L43" s="714" t="s">
        <v>976</v>
      </c>
      <c r="M43" s="111" t="s">
        <v>977</v>
      </c>
    </row>
    <row r="44" spans="2:14" ht="30.75" customHeight="1" thickBot="1" x14ac:dyDescent="0.4">
      <c r="B44" s="1368"/>
      <c r="C44" s="1369"/>
      <c r="D44" s="1370"/>
      <c r="E44" s="1371"/>
      <c r="F44" s="1370"/>
      <c r="G44" s="1373"/>
      <c r="H44" s="126" t="s">
        <v>978</v>
      </c>
      <c r="I44" s="127" t="s">
        <v>979</v>
      </c>
      <c r="J44" s="127" t="s">
        <v>980</v>
      </c>
      <c r="K44" s="127" t="s">
        <v>981</v>
      </c>
      <c r="L44" s="127" t="s">
        <v>982</v>
      </c>
      <c r="M44" s="128" t="s">
        <v>983</v>
      </c>
      <c r="N44" s="716" t="s">
        <v>984</v>
      </c>
    </row>
    <row r="45" spans="2:14" ht="30" customHeight="1" x14ac:dyDescent="0.35">
      <c r="B45" s="1303" t="s">
        <v>985</v>
      </c>
      <c r="C45" s="1304"/>
      <c r="D45" s="1345">
        <v>0.25</v>
      </c>
      <c r="E45" s="1346"/>
      <c r="F45" s="1349">
        <v>10</v>
      </c>
      <c r="G45" s="1350"/>
      <c r="H45" s="124" t="s">
        <v>986</v>
      </c>
      <c r="I45" s="51" t="s">
        <v>987</v>
      </c>
      <c r="J45" s="51"/>
      <c r="K45" s="51"/>
      <c r="L45" s="51"/>
      <c r="M45" s="52"/>
    </row>
    <row r="46" spans="2:14" ht="30" customHeight="1" x14ac:dyDescent="0.35">
      <c r="B46" s="1305"/>
      <c r="C46" s="1306"/>
      <c r="D46" s="1332"/>
      <c r="E46" s="1333"/>
      <c r="F46" s="1334"/>
      <c r="G46" s="1172"/>
      <c r="H46" s="122"/>
      <c r="I46" s="53" t="s">
        <v>988</v>
      </c>
      <c r="J46" s="53"/>
      <c r="K46" s="53"/>
      <c r="L46" s="53"/>
      <c r="M46" s="54"/>
    </row>
    <row r="47" spans="2:14" ht="30" customHeight="1" x14ac:dyDescent="0.35">
      <c r="B47" s="1305"/>
      <c r="C47" s="1306"/>
      <c r="D47" s="1332"/>
      <c r="E47" s="1333"/>
      <c r="F47" s="1334"/>
      <c r="G47" s="1172"/>
      <c r="H47" s="122"/>
      <c r="I47" s="53"/>
      <c r="J47" s="53">
        <v>44076</v>
      </c>
      <c r="K47" s="53"/>
      <c r="L47" s="53"/>
      <c r="M47" s="54"/>
    </row>
    <row r="48" spans="2:14" ht="30" customHeight="1" x14ac:dyDescent="0.35">
      <c r="B48" s="1305"/>
      <c r="C48" s="1306"/>
      <c r="D48" s="1332"/>
      <c r="E48" s="1333"/>
      <c r="F48" s="1334"/>
      <c r="G48" s="1172"/>
      <c r="H48" s="122"/>
      <c r="I48" s="53"/>
      <c r="J48" s="53">
        <v>44081</v>
      </c>
      <c r="K48" s="53"/>
      <c r="L48" s="53"/>
      <c r="M48" s="54"/>
    </row>
    <row r="49" spans="2:13" ht="30" customHeight="1" x14ac:dyDescent="0.35">
      <c r="B49" s="1305"/>
      <c r="C49" s="1306"/>
      <c r="D49" s="1332"/>
      <c r="E49" s="1333"/>
      <c r="F49" s="1334"/>
      <c r="G49" s="1172"/>
      <c r="H49" s="122"/>
      <c r="I49" s="53"/>
      <c r="J49" s="53"/>
      <c r="K49" s="53"/>
      <c r="L49" s="53"/>
      <c r="M49" s="54"/>
    </row>
    <row r="50" spans="2:13" ht="30" customHeight="1" x14ac:dyDescent="0.35">
      <c r="B50" s="1305"/>
      <c r="C50" s="1306"/>
      <c r="D50" s="1332"/>
      <c r="E50" s="1333"/>
      <c r="F50" s="1334"/>
      <c r="G50" s="1172"/>
      <c r="H50" s="122"/>
      <c r="I50" s="53"/>
      <c r="J50" s="53"/>
      <c r="K50" s="53"/>
      <c r="L50" s="53"/>
      <c r="M50" s="54"/>
    </row>
    <row r="51" spans="2:13" ht="30" customHeight="1" thickBot="1" x14ac:dyDescent="0.4">
      <c r="B51" s="1307"/>
      <c r="C51" s="1308"/>
      <c r="D51" s="1332"/>
      <c r="E51" s="1333"/>
      <c r="F51" s="1334"/>
      <c r="G51" s="1172"/>
      <c r="H51" s="123"/>
      <c r="I51" s="55"/>
      <c r="J51" s="55"/>
      <c r="K51" s="55"/>
      <c r="L51" s="55"/>
      <c r="M51" s="56"/>
    </row>
    <row r="52" spans="2:13" ht="30" customHeight="1" x14ac:dyDescent="0.35">
      <c r="B52" s="1303" t="s">
        <v>989</v>
      </c>
      <c r="C52" s="1304"/>
      <c r="D52" s="1345">
        <v>0.25</v>
      </c>
      <c r="E52" s="1346"/>
      <c r="F52" s="1349">
        <v>10</v>
      </c>
      <c r="G52" s="1350"/>
      <c r="H52" s="121"/>
      <c r="I52" s="49"/>
      <c r="J52" s="49">
        <v>44083</v>
      </c>
      <c r="K52" s="49"/>
      <c r="L52" s="49"/>
      <c r="M52" s="50"/>
    </row>
    <row r="53" spans="2:13" ht="30" customHeight="1" x14ac:dyDescent="0.35">
      <c r="B53" s="1305"/>
      <c r="C53" s="1306"/>
      <c r="D53" s="1332"/>
      <c r="E53" s="1333"/>
      <c r="F53" s="1334"/>
      <c r="G53" s="1172"/>
      <c r="H53" s="122"/>
      <c r="I53" s="53"/>
      <c r="J53" s="53">
        <v>44085</v>
      </c>
      <c r="K53" s="53"/>
      <c r="L53" s="53"/>
      <c r="M53" s="54"/>
    </row>
    <row r="54" spans="2:13" ht="30" customHeight="1" x14ac:dyDescent="0.35">
      <c r="B54" s="1305"/>
      <c r="C54" s="1306"/>
      <c r="D54" s="1332"/>
      <c r="E54" s="1333"/>
      <c r="F54" s="1334"/>
      <c r="G54" s="1172"/>
      <c r="H54" s="122"/>
      <c r="I54" s="53"/>
      <c r="J54" s="53"/>
      <c r="K54" s="53"/>
      <c r="L54" s="53"/>
      <c r="M54" s="54"/>
    </row>
    <row r="55" spans="2:13" ht="30" customHeight="1" x14ac:dyDescent="0.35">
      <c r="B55" s="1305"/>
      <c r="C55" s="1306"/>
      <c r="D55" s="1332"/>
      <c r="E55" s="1333"/>
      <c r="F55" s="1334"/>
      <c r="G55" s="1172"/>
      <c r="H55" s="122"/>
      <c r="I55" s="53"/>
      <c r="J55" s="53"/>
      <c r="K55" s="53"/>
      <c r="L55" s="53"/>
      <c r="M55" s="54"/>
    </row>
    <row r="56" spans="2:13" ht="30" customHeight="1" x14ac:dyDescent="0.35">
      <c r="B56" s="1305"/>
      <c r="C56" s="1306"/>
      <c r="D56" s="1332"/>
      <c r="E56" s="1333"/>
      <c r="F56" s="1334"/>
      <c r="G56" s="1172"/>
      <c r="H56" s="122"/>
      <c r="I56" s="53"/>
      <c r="J56" s="53"/>
      <c r="K56" s="53"/>
      <c r="L56" s="53"/>
      <c r="M56" s="54"/>
    </row>
    <row r="57" spans="2:13" ht="30" customHeight="1" x14ac:dyDescent="0.35">
      <c r="B57" s="1305"/>
      <c r="C57" s="1306"/>
      <c r="D57" s="1332"/>
      <c r="E57" s="1333"/>
      <c r="F57" s="1334"/>
      <c r="G57" s="1172"/>
      <c r="H57" s="122"/>
      <c r="I57" s="53"/>
      <c r="J57" s="53"/>
      <c r="K57" s="53"/>
      <c r="L57" s="53"/>
      <c r="M57" s="54"/>
    </row>
    <row r="58" spans="2:13" ht="30" customHeight="1" thickBot="1" x14ac:dyDescent="0.4">
      <c r="B58" s="1307"/>
      <c r="C58" s="1308"/>
      <c r="D58" s="1347"/>
      <c r="E58" s="1348"/>
      <c r="F58" s="1351"/>
      <c r="G58" s="1352"/>
      <c r="H58" s="123"/>
      <c r="I58" s="55"/>
      <c r="J58" s="55"/>
      <c r="K58" s="55"/>
      <c r="L58" s="55"/>
      <c r="M58" s="56"/>
    </row>
    <row r="59" spans="2:13" ht="30" customHeight="1" x14ac:dyDescent="0.35">
      <c r="B59" s="1303" t="s">
        <v>990</v>
      </c>
      <c r="C59" s="1304"/>
      <c r="D59" s="1332">
        <v>0.25</v>
      </c>
      <c r="E59" s="1333"/>
      <c r="F59" s="1334">
        <v>10</v>
      </c>
      <c r="G59" s="1172"/>
      <c r="H59" s="121"/>
      <c r="I59" s="49"/>
      <c r="J59" s="49"/>
      <c r="K59" s="49" t="s">
        <v>991</v>
      </c>
      <c r="L59" s="49"/>
      <c r="M59" s="50"/>
    </row>
    <row r="60" spans="2:13" ht="30" customHeight="1" x14ac:dyDescent="0.35">
      <c r="B60" s="1305"/>
      <c r="C60" s="1306"/>
      <c r="D60" s="1332"/>
      <c r="E60" s="1333"/>
      <c r="F60" s="1334"/>
      <c r="G60" s="1172"/>
      <c r="H60" s="122"/>
      <c r="I60" s="53"/>
      <c r="J60" s="53"/>
      <c r="K60" s="53" t="s">
        <v>992</v>
      </c>
      <c r="L60" s="53"/>
      <c r="M60" s="54"/>
    </row>
    <row r="61" spans="2:13" ht="30" customHeight="1" x14ac:dyDescent="0.35">
      <c r="B61" s="1305"/>
      <c r="C61" s="1306"/>
      <c r="D61" s="1332"/>
      <c r="E61" s="1333"/>
      <c r="F61" s="1334"/>
      <c r="G61" s="1172"/>
      <c r="H61" s="122"/>
      <c r="I61" s="53"/>
      <c r="J61" s="53"/>
      <c r="K61" s="53"/>
      <c r="L61" s="53"/>
      <c r="M61" s="54"/>
    </row>
    <row r="62" spans="2:13" ht="30" customHeight="1" x14ac:dyDescent="0.35">
      <c r="B62" s="1305"/>
      <c r="C62" s="1306"/>
      <c r="D62" s="1332"/>
      <c r="E62" s="1333"/>
      <c r="F62" s="1334"/>
      <c r="G62" s="1172"/>
      <c r="H62" s="122"/>
      <c r="I62" s="53"/>
      <c r="J62" s="53"/>
      <c r="K62" s="53"/>
      <c r="L62" s="53"/>
      <c r="M62" s="54"/>
    </row>
    <row r="63" spans="2:13" ht="30" customHeight="1" x14ac:dyDescent="0.35">
      <c r="B63" s="1305"/>
      <c r="C63" s="1306"/>
      <c r="D63" s="1332"/>
      <c r="E63" s="1333"/>
      <c r="F63" s="1334"/>
      <c r="G63" s="1172"/>
      <c r="H63" s="122"/>
      <c r="I63" s="53"/>
      <c r="J63" s="53"/>
      <c r="K63" s="53"/>
      <c r="L63" s="53"/>
      <c r="M63" s="54"/>
    </row>
    <row r="64" spans="2:13" ht="30" customHeight="1" x14ac:dyDescent="0.35">
      <c r="B64" s="1305"/>
      <c r="C64" s="1306"/>
      <c r="D64" s="1332"/>
      <c r="E64" s="1333"/>
      <c r="F64" s="1334"/>
      <c r="G64" s="1172"/>
      <c r="H64" s="122"/>
      <c r="I64" s="53"/>
      <c r="J64" s="53"/>
      <c r="K64" s="53"/>
      <c r="L64" s="53"/>
      <c r="M64" s="54"/>
    </row>
    <row r="65" spans="2:14" ht="30" customHeight="1" thickBot="1" x14ac:dyDescent="0.4">
      <c r="B65" s="1307"/>
      <c r="C65" s="1308"/>
      <c r="D65" s="1332"/>
      <c r="E65" s="1333"/>
      <c r="F65" s="1334"/>
      <c r="G65" s="1172"/>
      <c r="H65" s="123"/>
      <c r="I65" s="55"/>
      <c r="J65" s="55"/>
      <c r="K65" s="55"/>
      <c r="L65" s="55"/>
      <c r="M65" s="56"/>
    </row>
    <row r="66" spans="2:14" ht="30" customHeight="1" x14ac:dyDescent="0.35">
      <c r="B66" s="1303" t="s">
        <v>993</v>
      </c>
      <c r="C66" s="1304"/>
      <c r="D66" s="1345">
        <v>0.25</v>
      </c>
      <c r="E66" s="1346"/>
      <c r="F66" s="1349">
        <v>20</v>
      </c>
      <c r="G66" s="1350"/>
      <c r="H66" s="121"/>
      <c r="I66" s="49"/>
      <c r="J66" s="49"/>
      <c r="K66" s="49" t="s">
        <v>994</v>
      </c>
      <c r="L66" s="49"/>
      <c r="M66" s="50"/>
    </row>
    <row r="67" spans="2:14" ht="30" customHeight="1" x14ac:dyDescent="0.35">
      <c r="B67" s="1305"/>
      <c r="C67" s="1306"/>
      <c r="D67" s="1332"/>
      <c r="E67" s="1333"/>
      <c r="F67" s="1334"/>
      <c r="G67" s="1172"/>
      <c r="H67" s="122"/>
      <c r="I67" s="53"/>
      <c r="J67" s="53"/>
      <c r="K67" s="53"/>
      <c r="L67" s="53">
        <v>44140</v>
      </c>
      <c r="M67" s="54"/>
    </row>
    <row r="68" spans="2:14" ht="30" customHeight="1" x14ac:dyDescent="0.35">
      <c r="B68" s="1305"/>
      <c r="C68" s="1306"/>
      <c r="D68" s="1332"/>
      <c r="E68" s="1333"/>
      <c r="F68" s="1334"/>
      <c r="G68" s="1172"/>
      <c r="H68" s="122"/>
      <c r="I68" s="53"/>
      <c r="J68" s="53"/>
      <c r="K68" s="53"/>
      <c r="L68" s="53">
        <v>44155</v>
      </c>
      <c r="M68" s="25"/>
    </row>
    <row r="69" spans="2:14" ht="30" customHeight="1" x14ac:dyDescent="0.35">
      <c r="B69" s="1305"/>
      <c r="C69" s="1306"/>
      <c r="D69" s="1332"/>
      <c r="E69" s="1333"/>
      <c r="F69" s="1334"/>
      <c r="G69" s="1172"/>
      <c r="H69" s="57"/>
      <c r="I69" s="53"/>
      <c r="J69" s="53"/>
      <c r="K69" s="53"/>
      <c r="L69" s="53"/>
      <c r="M69" s="54">
        <v>44166</v>
      </c>
    </row>
    <row r="70" spans="2:14" ht="30" customHeight="1" x14ac:dyDescent="0.35">
      <c r="B70" s="1305"/>
      <c r="C70" s="1306"/>
      <c r="D70" s="1332"/>
      <c r="E70" s="1333"/>
      <c r="F70" s="1334"/>
      <c r="G70" s="1172"/>
      <c r="H70" s="57"/>
      <c r="I70" s="53"/>
      <c r="J70" s="53"/>
      <c r="K70" s="53"/>
      <c r="L70" s="53"/>
      <c r="M70" s="54">
        <v>44170</v>
      </c>
    </row>
    <row r="71" spans="2:14" ht="30" customHeight="1" thickBot="1" x14ac:dyDescent="0.4">
      <c r="B71" s="1307"/>
      <c r="C71" s="1308"/>
      <c r="D71" s="1347"/>
      <c r="E71" s="1348"/>
      <c r="F71" s="1351"/>
      <c r="G71" s="1352"/>
      <c r="H71" s="58"/>
      <c r="I71" s="55"/>
      <c r="J71" s="55"/>
      <c r="K71" s="55"/>
      <c r="L71" s="55"/>
      <c r="M71" s="56"/>
    </row>
    <row r="72" spans="2:14" ht="30" customHeight="1" x14ac:dyDescent="0.35">
      <c r="B72" s="1303"/>
      <c r="C72" s="1304"/>
      <c r="D72" s="1345"/>
      <c r="E72" s="1346"/>
      <c r="F72" s="1349"/>
      <c r="G72" s="1350"/>
      <c r="H72" s="121"/>
      <c r="I72" s="49"/>
      <c r="J72" s="49"/>
      <c r="K72" s="49"/>
      <c r="L72" s="49"/>
      <c r="M72" s="50"/>
      <c r="N72" s="716" t="s">
        <v>995</v>
      </c>
    </row>
    <row r="73" spans="2:14" ht="30" customHeight="1" x14ac:dyDescent="0.35">
      <c r="B73" s="1305"/>
      <c r="C73" s="1306"/>
      <c r="D73" s="1332"/>
      <c r="E73" s="1333"/>
      <c r="F73" s="1334"/>
      <c r="G73" s="1172"/>
      <c r="H73" s="122"/>
      <c r="I73" s="53"/>
      <c r="J73" s="53"/>
      <c r="K73" s="53"/>
      <c r="L73" s="53"/>
      <c r="M73" s="54"/>
    </row>
    <row r="74" spans="2:14" ht="30" customHeight="1" x14ac:dyDescent="0.35">
      <c r="B74" s="1305"/>
      <c r="C74" s="1306"/>
      <c r="D74" s="1332"/>
      <c r="E74" s="1333"/>
      <c r="F74" s="1334"/>
      <c r="G74" s="1172"/>
      <c r="H74" s="122"/>
      <c r="I74" s="53"/>
      <c r="J74" s="53"/>
      <c r="K74" s="53"/>
      <c r="L74" s="53"/>
      <c r="M74" s="25"/>
    </row>
    <row r="75" spans="2:14" ht="30" customHeight="1" x14ac:dyDescent="0.35">
      <c r="B75" s="1305"/>
      <c r="C75" s="1306"/>
      <c r="D75" s="1332"/>
      <c r="E75" s="1333"/>
      <c r="F75" s="1334"/>
      <c r="G75" s="1172"/>
      <c r="H75" s="57"/>
      <c r="I75" s="53"/>
      <c r="J75" s="53"/>
      <c r="K75" s="53"/>
      <c r="L75" s="53"/>
      <c r="M75" s="54"/>
    </row>
    <row r="76" spans="2:14" ht="30" customHeight="1" x14ac:dyDescent="0.35">
      <c r="B76" s="1305"/>
      <c r="C76" s="1306"/>
      <c r="D76" s="1332"/>
      <c r="E76" s="1333"/>
      <c r="F76" s="1334"/>
      <c r="G76" s="1172"/>
      <c r="H76" s="57"/>
      <c r="I76" s="53"/>
      <c r="J76" s="53"/>
      <c r="K76" s="53"/>
      <c r="L76" s="53"/>
      <c r="M76" s="54"/>
    </row>
    <row r="77" spans="2:14" ht="30" customHeight="1" thickBot="1" x14ac:dyDescent="0.4">
      <c r="B77" s="1307"/>
      <c r="C77" s="1308"/>
      <c r="D77" s="1347"/>
      <c r="E77" s="1348"/>
      <c r="F77" s="1351"/>
      <c r="G77" s="1352"/>
      <c r="H77" s="58"/>
      <c r="I77" s="55"/>
      <c r="J77" s="55"/>
      <c r="K77" s="55"/>
      <c r="L77" s="55"/>
      <c r="M77" s="56"/>
    </row>
    <row r="78" spans="2:14" ht="30" customHeight="1" x14ac:dyDescent="0.35">
      <c r="B78" s="1309"/>
      <c r="C78" s="1310"/>
      <c r="D78" s="1345"/>
      <c r="E78" s="1346"/>
      <c r="F78" s="1349"/>
      <c r="G78" s="1350"/>
      <c r="H78" s="121"/>
      <c r="I78" s="49"/>
      <c r="J78" s="49"/>
      <c r="K78" s="49"/>
      <c r="L78" s="49"/>
      <c r="M78" s="50"/>
      <c r="N78" s="716" t="s">
        <v>995</v>
      </c>
    </row>
    <row r="79" spans="2:14" ht="30" customHeight="1" x14ac:dyDescent="0.35">
      <c r="B79" s="1311"/>
      <c r="C79" s="1312"/>
      <c r="D79" s="1332"/>
      <c r="E79" s="1333"/>
      <c r="F79" s="1334"/>
      <c r="G79" s="1172"/>
      <c r="H79" s="122"/>
      <c r="I79" s="53"/>
      <c r="J79" s="53"/>
      <c r="K79" s="53"/>
      <c r="L79" s="53"/>
      <c r="M79" s="54"/>
    </row>
    <row r="80" spans="2:14" ht="30" customHeight="1" x14ac:dyDescent="0.35">
      <c r="B80" s="1311"/>
      <c r="C80" s="1312"/>
      <c r="D80" s="1332"/>
      <c r="E80" s="1333"/>
      <c r="F80" s="1334"/>
      <c r="G80" s="1172"/>
      <c r="H80" s="122"/>
      <c r="I80" s="53"/>
      <c r="J80" s="53"/>
      <c r="K80" s="53"/>
      <c r="L80" s="53"/>
      <c r="M80" s="25"/>
    </row>
    <row r="81" spans="2:13" ht="30" customHeight="1" x14ac:dyDescent="0.35">
      <c r="B81" s="1311"/>
      <c r="C81" s="1312"/>
      <c r="D81" s="1332"/>
      <c r="E81" s="1333"/>
      <c r="F81" s="1334"/>
      <c r="G81" s="1172"/>
      <c r="H81" s="57"/>
      <c r="I81" s="53"/>
      <c r="J81" s="53"/>
      <c r="K81" s="53"/>
      <c r="L81" s="53"/>
      <c r="M81" s="54"/>
    </row>
    <row r="82" spans="2:13" ht="30" customHeight="1" x14ac:dyDescent="0.35">
      <c r="B82" s="1311"/>
      <c r="C82" s="1312"/>
      <c r="D82" s="1332"/>
      <c r="E82" s="1333"/>
      <c r="F82" s="1334"/>
      <c r="G82" s="1172"/>
      <c r="H82" s="57"/>
      <c r="I82" s="53"/>
      <c r="J82" s="53"/>
      <c r="K82" s="53"/>
      <c r="L82" s="53"/>
      <c r="M82" s="54"/>
    </row>
    <row r="83" spans="2:13" ht="30" customHeight="1" thickBot="1" x14ac:dyDescent="0.4">
      <c r="B83" s="1313"/>
      <c r="C83" s="1314"/>
      <c r="D83" s="1347"/>
      <c r="E83" s="1348"/>
      <c r="F83" s="1351"/>
      <c r="G83" s="1352"/>
      <c r="H83" s="58"/>
      <c r="I83" s="55"/>
      <c r="J83" s="55"/>
      <c r="K83" s="55"/>
      <c r="L83" s="55"/>
      <c r="M83" s="56"/>
    </row>
    <row r="84" spans="2:13" ht="30" customHeight="1" x14ac:dyDescent="0.35">
      <c r="B84" s="1309"/>
      <c r="C84" s="1310"/>
      <c r="D84" s="1345"/>
      <c r="E84" s="1346"/>
      <c r="F84" s="1349"/>
      <c r="G84" s="1350"/>
      <c r="H84" s="121"/>
      <c r="I84" s="49"/>
      <c r="J84" s="49"/>
      <c r="K84" s="49"/>
      <c r="L84" s="49"/>
      <c r="M84" s="50"/>
    </row>
    <row r="85" spans="2:13" ht="30" customHeight="1" x14ac:dyDescent="0.35">
      <c r="B85" s="1311"/>
      <c r="C85" s="1312"/>
      <c r="D85" s="1332"/>
      <c r="E85" s="1333"/>
      <c r="F85" s="1334"/>
      <c r="G85" s="1172"/>
      <c r="H85" s="122"/>
      <c r="I85" s="53"/>
      <c r="J85" s="53"/>
      <c r="K85" s="53"/>
      <c r="L85" s="53"/>
      <c r="M85" s="54"/>
    </row>
    <row r="86" spans="2:13" ht="30" customHeight="1" x14ac:dyDescent="0.35">
      <c r="B86" s="1311"/>
      <c r="C86" s="1312"/>
      <c r="D86" s="1332"/>
      <c r="E86" s="1333"/>
      <c r="F86" s="1334"/>
      <c r="G86" s="1172"/>
      <c r="H86" s="122"/>
      <c r="I86" s="53"/>
      <c r="J86" s="53"/>
      <c r="K86" s="53"/>
      <c r="L86" s="53"/>
      <c r="M86" s="25"/>
    </row>
    <row r="87" spans="2:13" ht="30" customHeight="1" x14ac:dyDescent="0.35">
      <c r="B87" s="1311"/>
      <c r="C87" s="1312"/>
      <c r="D87" s="1332"/>
      <c r="E87" s="1333"/>
      <c r="F87" s="1334"/>
      <c r="G87" s="1172"/>
      <c r="H87" s="57"/>
      <c r="I87" s="53"/>
      <c r="J87" s="53"/>
      <c r="K87" s="53"/>
      <c r="L87" s="53"/>
      <c r="M87" s="54"/>
    </row>
    <row r="88" spans="2:13" ht="30" customHeight="1" x14ac:dyDescent="0.35">
      <c r="B88" s="1311"/>
      <c r="C88" s="1312"/>
      <c r="D88" s="1332"/>
      <c r="E88" s="1333"/>
      <c r="F88" s="1334"/>
      <c r="G88" s="1172"/>
      <c r="H88" s="57"/>
      <c r="I88" s="53"/>
      <c r="J88" s="53"/>
      <c r="K88" s="53"/>
      <c r="L88" s="53"/>
      <c r="M88" s="54"/>
    </row>
    <row r="89" spans="2:13" ht="30" customHeight="1" thickBot="1" x14ac:dyDescent="0.4">
      <c r="B89" s="1313"/>
      <c r="C89" s="1314"/>
      <c r="D89" s="1347"/>
      <c r="E89" s="1348"/>
      <c r="F89" s="1351"/>
      <c r="G89" s="1352"/>
      <c r="H89" s="58"/>
      <c r="I89" s="55"/>
      <c r="J89" s="55"/>
      <c r="K89" s="55"/>
      <c r="L89" s="55"/>
      <c r="M89" s="56"/>
    </row>
    <row r="90" spans="2:13" ht="30" customHeight="1" x14ac:dyDescent="0.35">
      <c r="B90" s="1309"/>
      <c r="C90" s="1310"/>
      <c r="D90" s="1345"/>
      <c r="E90" s="1346"/>
      <c r="F90" s="1349"/>
      <c r="G90" s="1350"/>
      <c r="H90" s="121"/>
      <c r="I90" s="49"/>
      <c r="J90" s="49"/>
      <c r="K90" s="49"/>
      <c r="L90" s="49"/>
      <c r="M90" s="50"/>
    </row>
    <row r="91" spans="2:13" ht="30" customHeight="1" x14ac:dyDescent="0.35">
      <c r="B91" s="1311"/>
      <c r="C91" s="1312"/>
      <c r="D91" s="1332"/>
      <c r="E91" s="1333"/>
      <c r="F91" s="1334"/>
      <c r="G91" s="1172"/>
      <c r="H91" s="122"/>
      <c r="I91" s="53"/>
      <c r="J91" s="53"/>
      <c r="K91" s="53"/>
      <c r="L91" s="53"/>
      <c r="M91" s="54"/>
    </row>
    <row r="92" spans="2:13" ht="30" customHeight="1" x14ac:dyDescent="0.35">
      <c r="B92" s="1311"/>
      <c r="C92" s="1312"/>
      <c r="D92" s="1332"/>
      <c r="E92" s="1333"/>
      <c r="F92" s="1334"/>
      <c r="G92" s="1172"/>
      <c r="H92" s="122"/>
      <c r="I92" s="53"/>
      <c r="J92" s="53"/>
      <c r="K92" s="53"/>
      <c r="L92" s="53"/>
      <c r="M92" s="25"/>
    </row>
    <row r="93" spans="2:13" ht="30" customHeight="1" x14ac:dyDescent="0.35">
      <c r="B93" s="1311"/>
      <c r="C93" s="1312"/>
      <c r="D93" s="1332"/>
      <c r="E93" s="1333"/>
      <c r="F93" s="1334"/>
      <c r="G93" s="1172"/>
      <c r="H93" s="57"/>
      <c r="I93" s="53"/>
      <c r="J93" s="53"/>
      <c r="K93" s="53"/>
      <c r="L93" s="53"/>
      <c r="M93" s="54"/>
    </row>
    <row r="94" spans="2:13" ht="30" customHeight="1" x14ac:dyDescent="0.35">
      <c r="B94" s="1311"/>
      <c r="C94" s="1312"/>
      <c r="D94" s="1332"/>
      <c r="E94" s="1333"/>
      <c r="F94" s="1334"/>
      <c r="G94" s="1172"/>
      <c r="H94" s="57"/>
      <c r="I94" s="53"/>
      <c r="J94" s="53"/>
      <c r="K94" s="53"/>
      <c r="L94" s="53"/>
      <c r="M94" s="54"/>
    </row>
    <row r="95" spans="2:13" ht="30" customHeight="1" thickBot="1" x14ac:dyDescent="0.4">
      <c r="B95" s="1313"/>
      <c r="C95" s="1314"/>
      <c r="D95" s="1347"/>
      <c r="E95" s="1348"/>
      <c r="F95" s="1351"/>
      <c r="G95" s="1352"/>
      <c r="H95" s="58"/>
      <c r="I95" s="55"/>
      <c r="J95" s="55"/>
      <c r="K95" s="55"/>
      <c r="L95" s="55"/>
      <c r="M95" s="56"/>
    </row>
    <row r="96" spans="2:13" ht="30" customHeight="1" x14ac:dyDescent="0.35">
      <c r="B96" s="1309"/>
      <c r="C96" s="1310"/>
      <c r="D96" s="1345"/>
      <c r="E96" s="1346"/>
      <c r="F96" s="1349"/>
      <c r="G96" s="1350"/>
      <c r="H96" s="121"/>
      <c r="I96" s="49"/>
      <c r="J96" s="49"/>
      <c r="K96" s="49"/>
      <c r="L96" s="49"/>
      <c r="M96" s="50"/>
    </row>
    <row r="97" spans="2:15" ht="30" customHeight="1" x14ac:dyDescent="0.35">
      <c r="B97" s="1311"/>
      <c r="C97" s="1312"/>
      <c r="D97" s="1332"/>
      <c r="E97" s="1333"/>
      <c r="F97" s="1334"/>
      <c r="G97" s="1172"/>
      <c r="H97" s="122"/>
      <c r="I97" s="53"/>
      <c r="J97" s="53"/>
      <c r="K97" s="53"/>
      <c r="L97" s="53"/>
      <c r="M97" s="54"/>
    </row>
    <row r="98" spans="2:15" ht="30" customHeight="1" x14ac:dyDescent="0.35">
      <c r="B98" s="1311"/>
      <c r="C98" s="1312"/>
      <c r="D98" s="1332"/>
      <c r="E98" s="1333"/>
      <c r="F98" s="1334"/>
      <c r="G98" s="1172"/>
      <c r="H98" s="122"/>
      <c r="I98" s="53"/>
      <c r="J98" s="53"/>
      <c r="K98" s="53"/>
      <c r="L98" s="53"/>
      <c r="M98" s="25"/>
    </row>
    <row r="99" spans="2:15" ht="30" customHeight="1" x14ac:dyDescent="0.35">
      <c r="B99" s="1311"/>
      <c r="C99" s="1312"/>
      <c r="D99" s="1332"/>
      <c r="E99" s="1333"/>
      <c r="F99" s="1334"/>
      <c r="G99" s="1172"/>
      <c r="H99" s="57"/>
      <c r="I99" s="53"/>
      <c r="J99" s="53"/>
      <c r="K99" s="53"/>
      <c r="L99" s="53"/>
      <c r="M99" s="54"/>
    </row>
    <row r="100" spans="2:15" ht="30" customHeight="1" x14ac:dyDescent="0.35">
      <c r="B100" s="1311"/>
      <c r="C100" s="1312"/>
      <c r="D100" s="1332"/>
      <c r="E100" s="1333"/>
      <c r="F100" s="1334"/>
      <c r="G100" s="1172"/>
      <c r="H100" s="57"/>
      <c r="I100" s="53"/>
      <c r="J100" s="53"/>
      <c r="K100" s="53"/>
      <c r="L100" s="53"/>
      <c r="M100" s="54"/>
    </row>
    <row r="101" spans="2:15" ht="30" customHeight="1" thickBot="1" x14ac:dyDescent="0.4">
      <c r="B101" s="1313"/>
      <c r="C101" s="1314"/>
      <c r="D101" s="1347"/>
      <c r="E101" s="1348"/>
      <c r="F101" s="1351"/>
      <c r="G101" s="1352"/>
      <c r="H101" s="58"/>
      <c r="I101" s="55"/>
      <c r="J101" s="55"/>
      <c r="K101" s="55"/>
      <c r="L101" s="55"/>
      <c r="M101" s="56"/>
    </row>
    <row r="102" spans="2:15" ht="30" customHeight="1" x14ac:dyDescent="0.35">
      <c r="B102" s="1315"/>
      <c r="C102" s="1316"/>
      <c r="D102" s="1345"/>
      <c r="E102" s="1346"/>
      <c r="F102" s="1349"/>
      <c r="G102" s="1350"/>
      <c r="H102" s="121"/>
      <c r="I102" s="49"/>
      <c r="J102" s="49"/>
      <c r="K102" s="49"/>
      <c r="L102" s="49"/>
      <c r="M102" s="50"/>
    </row>
    <row r="103" spans="2:15" ht="30" customHeight="1" x14ac:dyDescent="0.35">
      <c r="B103" s="1311"/>
      <c r="C103" s="1312"/>
      <c r="D103" s="1332"/>
      <c r="E103" s="1333"/>
      <c r="F103" s="1334"/>
      <c r="G103" s="1172"/>
      <c r="H103" s="122"/>
      <c r="I103" s="53"/>
      <c r="J103" s="53"/>
      <c r="K103" s="53"/>
      <c r="L103" s="53"/>
      <c r="M103" s="54"/>
    </row>
    <row r="104" spans="2:15" ht="30" customHeight="1" x14ac:dyDescent="0.35">
      <c r="B104" s="1311"/>
      <c r="C104" s="1312"/>
      <c r="D104" s="1332"/>
      <c r="E104" s="1333"/>
      <c r="F104" s="1334"/>
      <c r="G104" s="1172"/>
      <c r="H104" s="122"/>
      <c r="I104" s="53"/>
      <c r="J104" s="53"/>
      <c r="K104" s="53"/>
      <c r="L104" s="53"/>
      <c r="M104" s="25"/>
    </row>
    <row r="105" spans="2:15" ht="30" customHeight="1" x14ac:dyDescent="0.35">
      <c r="B105" s="1311"/>
      <c r="C105" s="1312"/>
      <c r="D105" s="1332"/>
      <c r="E105" s="1333"/>
      <c r="F105" s="1334"/>
      <c r="G105" s="1172"/>
      <c r="H105" s="57"/>
      <c r="I105" s="53"/>
      <c r="J105" s="53"/>
      <c r="K105" s="53"/>
      <c r="L105" s="53"/>
      <c r="M105" s="54"/>
    </row>
    <row r="106" spans="2:15" ht="30" customHeight="1" x14ac:dyDescent="0.35">
      <c r="B106" s="1311"/>
      <c r="C106" s="1312"/>
      <c r="D106" s="1332"/>
      <c r="E106" s="1333"/>
      <c r="F106" s="1334"/>
      <c r="G106" s="1172"/>
      <c r="H106" s="57"/>
      <c r="I106" s="53"/>
      <c r="J106" s="53"/>
      <c r="K106" s="53"/>
      <c r="L106" s="53"/>
      <c r="M106" s="54"/>
    </row>
    <row r="107" spans="2:15" ht="30" customHeight="1" thickBot="1" x14ac:dyDescent="0.4">
      <c r="B107" s="1313"/>
      <c r="C107" s="1314"/>
      <c r="D107" s="1347"/>
      <c r="E107" s="1348"/>
      <c r="F107" s="1351"/>
      <c r="G107" s="1352"/>
      <c r="H107" s="58"/>
      <c r="I107" s="55"/>
      <c r="J107" s="55"/>
      <c r="K107" s="55"/>
      <c r="L107" s="55"/>
      <c r="M107" s="56"/>
    </row>
    <row r="108" spans="2:15" ht="32.5" customHeight="1" thickBot="1" x14ac:dyDescent="0.4">
      <c r="B108" s="1395">
        <f>COUNTBLANK(H108:M108)</f>
        <v>0</v>
      </c>
      <c r="C108" s="1396"/>
      <c r="D108" s="1337">
        <f>SUM(D45:E107)</f>
        <v>1</v>
      </c>
      <c r="E108" s="1338"/>
      <c r="F108" s="1353">
        <f>SUM(F45:G107)</f>
        <v>50</v>
      </c>
      <c r="G108" s="1354"/>
      <c r="H108" s="738">
        <f t="shared" ref="H108:M108" si="0">COUNTA(H45:H107)</f>
        <v>1</v>
      </c>
      <c r="I108" s="120">
        <f t="shared" si="0"/>
        <v>2</v>
      </c>
      <c r="J108" s="120">
        <f t="shared" si="0"/>
        <v>4</v>
      </c>
      <c r="K108" s="120">
        <f t="shared" si="0"/>
        <v>3</v>
      </c>
      <c r="L108" s="120">
        <f t="shared" si="0"/>
        <v>2</v>
      </c>
      <c r="M108" s="120">
        <f t="shared" si="0"/>
        <v>2</v>
      </c>
      <c r="N108" s="15">
        <f>SUM(H108:M108)</f>
        <v>14</v>
      </c>
    </row>
    <row r="109" spans="2:15" ht="19.5" customHeight="1" thickBot="1" x14ac:dyDescent="0.4">
      <c r="B109" s="40"/>
      <c r="C109" s="40"/>
      <c r="D109" s="20"/>
      <c r="E109" s="20"/>
      <c r="F109" s="29"/>
      <c r="G109" s="29"/>
      <c r="H109" s="7"/>
      <c r="I109" s="7"/>
      <c r="J109" s="7"/>
      <c r="K109" s="7"/>
      <c r="L109" s="7"/>
      <c r="M109" s="7"/>
    </row>
    <row r="110" spans="2:15" ht="57.75" customHeight="1" thickBot="1" x14ac:dyDescent="0.4">
      <c r="B110" s="1130" t="s">
        <v>996</v>
      </c>
      <c r="C110" s="1131"/>
      <c r="D110" s="1131"/>
      <c r="E110" s="1131"/>
      <c r="F110" s="1131"/>
      <c r="G110" s="1131"/>
      <c r="H110" s="1131"/>
      <c r="I110" s="1131"/>
      <c r="J110" s="1131"/>
      <c r="K110" s="1131"/>
      <c r="L110" s="1131"/>
      <c r="M110" s="1342"/>
    </row>
    <row r="111" spans="2:15" ht="57.75" customHeight="1" thickBot="1" x14ac:dyDescent="0.4">
      <c r="B111" s="1355" t="s">
        <v>997</v>
      </c>
      <c r="C111" s="1356"/>
      <c r="D111" s="1356"/>
      <c r="E111" s="1356"/>
      <c r="F111" s="1356"/>
      <c r="G111" s="1356"/>
      <c r="H111" s="1356"/>
      <c r="I111" s="1356"/>
      <c r="J111" s="1357"/>
      <c r="K111" s="1357"/>
      <c r="L111" s="1356"/>
      <c r="M111" s="1358"/>
    </row>
    <row r="112" spans="2:15" ht="139.5" customHeight="1" thickBot="1" x14ac:dyDescent="0.4">
      <c r="B112" s="1335" t="s">
        <v>998</v>
      </c>
      <c r="C112" s="1336"/>
      <c r="D112" s="1339" t="s">
        <v>999</v>
      </c>
      <c r="E112" s="1340"/>
      <c r="F112" s="1341" t="s">
        <v>1000</v>
      </c>
      <c r="G112" s="1341"/>
      <c r="H112" s="1343" t="s">
        <v>1001</v>
      </c>
      <c r="I112" s="1344"/>
      <c r="J112" s="200" t="s">
        <v>1002</v>
      </c>
      <c r="K112" s="201" t="s">
        <v>1003</v>
      </c>
      <c r="L112" s="876" t="s">
        <v>1004</v>
      </c>
      <c r="M112" s="896" t="s">
        <v>1005</v>
      </c>
      <c r="N112" s="20"/>
      <c r="O112" s="20"/>
    </row>
    <row r="113" spans="2:16" s="20" customFormat="1" ht="132.65" customHeight="1" thickBot="1" x14ac:dyDescent="0.4">
      <c r="B113" s="186" t="s">
        <v>738</v>
      </c>
      <c r="C113" s="192" t="str">
        <f>VLOOKUP($D$16,Indicadores!$A$6:$M$14,2,FALSE)</f>
        <v>Reducción de tiempo de no valor agregado (TNVA)</v>
      </c>
      <c r="D113" s="1331" t="str">
        <f>VLOOKUP($D$16,Indicadores!$A$6:$M$14,3,FALSE)</f>
        <v>Tasa de variación en el tiempo en el que no se agrega valor.</v>
      </c>
      <c r="E113" s="1331" t="e">
        <f>VLOOKUP($D$16,#REF!,2,FALSE)</f>
        <v>#REF!</v>
      </c>
      <c r="F113" s="1318" t="str">
        <f>VLOOKUP($D$16,Indicadores!$A$6:$M$14,6,FALSE)</f>
        <v xml:space="preserve">TNVA=∑ Tiempos de no valor agregado para cada subproceso </v>
      </c>
      <c r="G113" s="1319" t="e">
        <f>VLOOKUP($D$16,#REF!,2,FALSE)</f>
        <v>#REF!</v>
      </c>
      <c r="H113" s="1329" t="s">
        <v>1006</v>
      </c>
      <c r="I113" s="1330"/>
      <c r="J113" s="203" t="s">
        <v>1007</v>
      </c>
      <c r="K113" s="871" t="s">
        <v>1008</v>
      </c>
      <c r="L113" s="894" t="s">
        <v>1009</v>
      </c>
      <c r="M113" s="878">
        <v>38</v>
      </c>
      <c r="N113" s="877"/>
      <c r="O113" s="168"/>
    </row>
    <row r="114" spans="2:16" ht="138.65" customHeight="1" thickBot="1" x14ac:dyDescent="0.4">
      <c r="B114" s="188" t="s">
        <v>740</v>
      </c>
      <c r="C114" s="189" t="str">
        <f>VLOOKUP($D$16,Indicadores!$A$6:$M$14,9,FALSE)</f>
        <v>Ahorros generados por reducción de desperdicios (AD)</v>
      </c>
      <c r="D114" s="1328" t="str">
        <f>VLOOKUP($D$16,Indicadores!$A$6:$M$14,9,FALSE)</f>
        <v>Ahorros generados por reducción de desperdicios (AD)</v>
      </c>
      <c r="E114" s="1328" t="e">
        <f>VLOOKUP($D$16,#REF!,2,FALSE)</f>
        <v>#REF!</v>
      </c>
      <c r="F114" s="1318" t="str">
        <f>VLOOKUP($D$16,Indicadores!$A$6:$M$14,10,FALSE)</f>
        <v xml:space="preserve">Debe indicar cual subvariables utilizó de las 7 opciones </v>
      </c>
      <c r="G114" s="1319" t="e">
        <f>VLOOKUP($D$16,#REF!,2,FALSE)</f>
        <v>#REF!</v>
      </c>
      <c r="H114" s="1450" t="s">
        <v>1010</v>
      </c>
      <c r="I114" s="1451"/>
      <c r="J114" s="204">
        <v>400000</v>
      </c>
      <c r="K114" s="202" t="s">
        <v>1011</v>
      </c>
      <c r="L114" s="873" t="s">
        <v>1012</v>
      </c>
      <c r="M114" s="204">
        <v>250000</v>
      </c>
      <c r="N114" s="1433" t="s">
        <v>1013</v>
      </c>
      <c r="O114" s="1434"/>
      <c r="P114" s="1434"/>
    </row>
    <row r="115" spans="2:16" ht="132.65" customHeight="1" x14ac:dyDescent="0.35">
      <c r="B115" s="193" t="s">
        <v>752</v>
      </c>
      <c r="C115" s="194">
        <f>VLOOKUP($D$16,Indicadores!$A$6:$AC$14,16,FALSE)</f>
        <v>0</v>
      </c>
      <c r="D115" s="1324">
        <f>VLOOKUP($D$16,Indicadores!$A$6:$AC$14,17,FALSE)</f>
        <v>0</v>
      </c>
      <c r="E115" s="1324" t="e">
        <f>VLOOKUP($D$16,#REF!,2,FALSE)</f>
        <v>#REF!</v>
      </c>
      <c r="F115" s="1318">
        <f>VLOOKUP($D$16,Indicadores!$A$6:$AC$14,18,FALSE)</f>
        <v>0</v>
      </c>
      <c r="G115" s="1319" t="e">
        <f>VLOOKUP($D$16,#REF!,2,FALSE)</f>
        <v>#REF!</v>
      </c>
      <c r="H115" s="1325" t="s">
        <v>1014</v>
      </c>
      <c r="I115" s="1326"/>
      <c r="J115" s="204">
        <v>8</v>
      </c>
      <c r="K115" s="202" t="s">
        <v>1015</v>
      </c>
      <c r="L115" s="895" t="s">
        <v>1016</v>
      </c>
      <c r="M115" s="879">
        <v>0</v>
      </c>
    </row>
    <row r="116" spans="2:16" ht="165.75" customHeight="1" x14ac:dyDescent="0.35">
      <c r="B116" s="193" t="s">
        <v>753</v>
      </c>
      <c r="C116" s="146" t="s">
        <v>1017</v>
      </c>
      <c r="D116" s="1320" t="s">
        <v>1018</v>
      </c>
      <c r="E116" s="1321"/>
      <c r="F116" s="1322" t="s">
        <v>1019</v>
      </c>
      <c r="G116" s="1323"/>
      <c r="H116" s="1323" t="s">
        <v>1020</v>
      </c>
      <c r="I116" s="1322"/>
      <c r="J116" s="897">
        <f>0.005%</f>
        <v>5.0000000000000002E-5</v>
      </c>
      <c r="K116" s="47" t="s">
        <v>1021</v>
      </c>
      <c r="L116" s="898" t="s">
        <v>1022</v>
      </c>
      <c r="M116" s="901">
        <v>1.2E-4</v>
      </c>
      <c r="N116" s="1433" t="s">
        <v>1023</v>
      </c>
      <c r="O116" s="1434"/>
      <c r="P116" s="1434"/>
    </row>
    <row r="117" spans="2:16" ht="132.65" customHeight="1" thickBot="1" x14ac:dyDescent="0.4">
      <c r="B117" s="193" t="s">
        <v>755</v>
      </c>
      <c r="C117" s="146"/>
      <c r="D117" s="1327"/>
      <c r="E117" s="1327"/>
      <c r="F117" s="1448"/>
      <c r="G117" s="1449"/>
      <c r="H117" s="146"/>
      <c r="I117" s="208"/>
      <c r="J117" s="827"/>
      <c r="K117" s="829"/>
      <c r="L117" s="830"/>
      <c r="M117" s="755"/>
    </row>
    <row r="118" spans="2:16" ht="22" customHeight="1" thickBot="1" x14ac:dyDescent="0.4">
      <c r="B118" s="1130" t="s">
        <v>1024</v>
      </c>
      <c r="C118" s="1131"/>
      <c r="D118" s="1131"/>
      <c r="E118" s="1131"/>
      <c r="F118" s="1131"/>
      <c r="G118" s="1131"/>
      <c r="H118" s="1131"/>
      <c r="I118" s="1131"/>
      <c r="J118" s="1131"/>
      <c r="K118" s="1131"/>
      <c r="L118" s="1131"/>
      <c r="M118" s="1342"/>
    </row>
    <row r="119" spans="2:16" ht="39.65" customHeight="1" thickBot="1" x14ac:dyDescent="0.4">
      <c r="B119" s="1355" t="s">
        <v>1025</v>
      </c>
      <c r="C119" s="1356"/>
      <c r="D119" s="1356"/>
      <c r="E119" s="1356"/>
      <c r="F119" s="1356"/>
      <c r="G119" s="1356"/>
      <c r="H119" s="1356"/>
      <c r="I119" s="1356"/>
      <c r="J119" s="1356"/>
      <c r="K119" s="1356"/>
      <c r="L119" s="1356"/>
      <c r="M119" s="1358"/>
    </row>
    <row r="120" spans="2:16" ht="73" customHeight="1" thickBot="1" x14ac:dyDescent="0.4">
      <c r="B120" s="1430"/>
      <c r="C120" s="1431"/>
      <c r="D120" s="1431"/>
      <c r="E120" s="1431"/>
      <c r="F120" s="1431"/>
      <c r="G120" s="1431"/>
      <c r="H120" s="1431"/>
      <c r="I120" s="1431"/>
      <c r="J120" s="1431"/>
      <c r="K120" s="1431"/>
      <c r="L120" s="1431"/>
      <c r="M120" s="1432"/>
    </row>
    <row r="121" spans="2:16" ht="14.5" customHeight="1" x14ac:dyDescent="0.35">
      <c r="B121" s="828"/>
      <c r="C121" s="828"/>
      <c r="D121" s="828"/>
      <c r="E121" s="828"/>
      <c r="F121" s="828"/>
      <c r="G121" s="828"/>
      <c r="H121" s="828"/>
      <c r="I121" s="828"/>
      <c r="J121" s="828"/>
      <c r="K121" s="828"/>
      <c r="L121" s="828"/>
      <c r="M121" s="828"/>
    </row>
    <row r="122" spans="2:16" ht="37.5" customHeight="1" thickBot="1" x14ac:dyDescent="0.4">
      <c r="B122" s="1195" t="s">
        <v>908</v>
      </c>
      <c r="C122" s="1196"/>
      <c r="D122" s="1196"/>
      <c r="E122" s="1196"/>
      <c r="F122" s="1196"/>
      <c r="G122" s="1196"/>
      <c r="H122" s="1196"/>
      <c r="I122" s="1196"/>
      <c r="J122" s="1196"/>
      <c r="K122" s="1196"/>
      <c r="L122" s="1196"/>
      <c r="M122" s="1317"/>
    </row>
    <row r="123" spans="2:16" ht="33.75" customHeight="1" thickBot="1" x14ac:dyDescent="0.4">
      <c r="B123" s="1390" t="s">
        <v>1026</v>
      </c>
      <c r="C123" s="1391"/>
      <c r="D123" s="1391"/>
      <c r="E123" s="1391"/>
      <c r="F123" s="1391"/>
      <c r="G123" s="1391"/>
      <c r="H123" s="1391"/>
      <c r="I123" s="1391"/>
      <c r="J123" s="1391"/>
      <c r="K123" s="1391"/>
      <c r="L123" s="1391"/>
      <c r="M123" s="1408"/>
    </row>
    <row r="124" spans="2:16" ht="15" customHeight="1" x14ac:dyDescent="0.35">
      <c r="B124" s="21"/>
      <c r="C124" s="22"/>
      <c r="D124" s="23"/>
      <c r="E124" s="1440"/>
      <c r="F124" s="1441"/>
      <c r="G124" s="1441"/>
      <c r="H124" s="1441"/>
      <c r="I124" s="1442"/>
      <c r="J124" s="21"/>
      <c r="K124" s="22"/>
      <c r="L124" s="22"/>
      <c r="M124" s="23"/>
    </row>
    <row r="125" spans="2:16" ht="15" customHeight="1" x14ac:dyDescent="0.35">
      <c r="B125" s="24"/>
      <c r="C125" s="15"/>
      <c r="D125" s="25"/>
      <c r="E125" s="1443"/>
      <c r="F125" s="1444"/>
      <c r="G125" s="1444"/>
      <c r="H125" s="1444"/>
      <c r="I125" s="1445"/>
      <c r="J125" s="24"/>
      <c r="M125" s="25"/>
    </row>
    <row r="126" spans="2:16" ht="36.75" customHeight="1" x14ac:dyDescent="0.35">
      <c r="B126" s="24"/>
      <c r="C126" s="15"/>
      <c r="D126" s="25"/>
      <c r="E126" s="1443"/>
      <c r="F126" s="1444"/>
      <c r="G126" s="1444"/>
      <c r="H126" s="1444"/>
      <c r="I126" s="1445"/>
      <c r="J126" s="24"/>
      <c r="M126" s="25"/>
    </row>
    <row r="127" spans="2:16" ht="15" customHeight="1" thickBot="1" x14ac:dyDescent="0.4">
      <c r="B127" s="26"/>
      <c r="C127" s="27"/>
      <c r="D127" s="28"/>
      <c r="E127" s="1443"/>
      <c r="F127" s="1444"/>
      <c r="G127" s="1444"/>
      <c r="H127" s="1444"/>
      <c r="I127" s="1445"/>
      <c r="J127" s="24"/>
      <c r="M127" s="25"/>
    </row>
    <row r="128" spans="2:16" ht="29.15" customHeight="1" thickBot="1" x14ac:dyDescent="0.4">
      <c r="B128" s="1452" t="s">
        <v>910</v>
      </c>
      <c r="C128" s="1453"/>
      <c r="D128" s="158"/>
      <c r="E128" s="12" t="s">
        <v>910</v>
      </c>
      <c r="F128" s="162" t="str">
        <f>+D15</f>
        <v>AB</v>
      </c>
      <c r="G128" s="162"/>
      <c r="H128" s="162"/>
      <c r="I128" s="210"/>
      <c r="J128" s="12" t="s">
        <v>910</v>
      </c>
      <c r="K128" s="1435" t="str">
        <f>+'1. V.Inicial- DX (Gestor)'!I75</f>
        <v>ACB</v>
      </c>
      <c r="L128" s="1435"/>
      <c r="M128" s="1436"/>
    </row>
    <row r="129" spans="2:13" ht="23.5" customHeight="1" thickBot="1" x14ac:dyDescent="0.4">
      <c r="B129" s="1437" t="s">
        <v>1027</v>
      </c>
      <c r="C129" s="1438"/>
      <c r="D129" s="1439"/>
      <c r="E129" s="1437" t="s">
        <v>1028</v>
      </c>
      <c r="F129" s="1438"/>
      <c r="G129" s="1438"/>
      <c r="H129" s="1438"/>
      <c r="I129" s="1439"/>
      <c r="J129" s="861" t="s">
        <v>1029</v>
      </c>
      <c r="K129" s="159"/>
      <c r="L129" s="715"/>
      <c r="M129" s="160"/>
    </row>
    <row r="130" spans="2:13" ht="24" customHeight="1" x14ac:dyDescent="0.35">
      <c r="B130" s="1446" t="s">
        <v>1030</v>
      </c>
      <c r="C130" s="1447"/>
      <c r="D130" s="1447"/>
      <c r="E130" s="1447"/>
      <c r="F130" s="1447"/>
      <c r="G130" s="1447"/>
      <c r="H130" s="1447"/>
      <c r="I130" s="1447"/>
      <c r="J130" s="1447"/>
      <c r="K130" s="1447"/>
      <c r="L130" s="1447"/>
      <c r="M130" s="1447"/>
    </row>
    <row r="133" spans="2:13" x14ac:dyDescent="0.35">
      <c r="B133" s="30"/>
      <c r="C133" s="41"/>
    </row>
    <row r="134" spans="2:13" x14ac:dyDescent="0.35">
      <c r="B134" s="30"/>
      <c r="C134" s="41"/>
    </row>
    <row r="143" spans="2:13" x14ac:dyDescent="0.35">
      <c r="B143" s="33"/>
      <c r="C143" s="15"/>
    </row>
    <row r="144" spans="2:13" x14ac:dyDescent="0.35">
      <c r="B144" s="33"/>
      <c r="C144" s="15"/>
    </row>
    <row r="145" spans="2:3" x14ac:dyDescent="0.35">
      <c r="B145" s="33"/>
      <c r="C145" s="15"/>
    </row>
    <row r="146" spans="2:3" x14ac:dyDescent="0.35">
      <c r="B146" s="33"/>
      <c r="C146" s="15"/>
    </row>
    <row r="147" spans="2:3" x14ac:dyDescent="0.35">
      <c r="B147" s="33"/>
      <c r="C147" s="15"/>
    </row>
    <row r="148" spans="2:3" x14ac:dyDescent="0.35">
      <c r="B148" s="33"/>
      <c r="C148" s="15"/>
    </row>
    <row r="149" spans="2:3" x14ac:dyDescent="0.35">
      <c r="B149" s="33"/>
      <c r="C149" s="15"/>
    </row>
  </sheetData>
  <mergeCells count="136">
    <mergeCell ref="B119:M119"/>
    <mergeCell ref="B120:M120"/>
    <mergeCell ref="B118:M118"/>
    <mergeCell ref="N114:P114"/>
    <mergeCell ref="K128:M128"/>
    <mergeCell ref="B129:D129"/>
    <mergeCell ref="E124:I127"/>
    <mergeCell ref="E129:I129"/>
    <mergeCell ref="B130:M130"/>
    <mergeCell ref="F117:G117"/>
    <mergeCell ref="H114:I114"/>
    <mergeCell ref="B128:C128"/>
    <mergeCell ref="B123:M123"/>
    <mergeCell ref="H116:I116"/>
    <mergeCell ref="N116:P116"/>
    <mergeCell ref="B7:M7"/>
    <mergeCell ref="I16:J16"/>
    <mergeCell ref="B11:M11"/>
    <mergeCell ref="I25:J25"/>
    <mergeCell ref="K25:M25"/>
    <mergeCell ref="L9:M9"/>
    <mergeCell ref="B9:C9"/>
    <mergeCell ref="I22:J22"/>
    <mergeCell ref="K22:M22"/>
    <mergeCell ref="I23:J23"/>
    <mergeCell ref="K23:M23"/>
    <mergeCell ref="B10:M10"/>
    <mergeCell ref="B13:C13"/>
    <mergeCell ref="D13:H13"/>
    <mergeCell ref="I13:J13"/>
    <mergeCell ref="K14:M14"/>
    <mergeCell ref="K24:M24"/>
    <mergeCell ref="B23:H23"/>
    <mergeCell ref="B24:H24"/>
    <mergeCell ref="B25:H25"/>
    <mergeCell ref="B29:G29"/>
    <mergeCell ref="B108:C108"/>
    <mergeCell ref="H29:M29"/>
    <mergeCell ref="B19:M19"/>
    <mergeCell ref="I21:J21"/>
    <mergeCell ref="K21:M21"/>
    <mergeCell ref="I14:J14"/>
    <mergeCell ref="B14:C14"/>
    <mergeCell ref="B15:C15"/>
    <mergeCell ref="I15:J15"/>
    <mergeCell ref="B21:H21"/>
    <mergeCell ref="B22:H22"/>
    <mergeCell ref="D37:M37"/>
    <mergeCell ref="D38:M38"/>
    <mergeCell ref="D17:H17"/>
    <mergeCell ref="I17:J17"/>
    <mergeCell ref="K17:M17"/>
    <mergeCell ref="B17:C17"/>
    <mergeCell ref="D45:E51"/>
    <mergeCell ref="F45:G51"/>
    <mergeCell ref="B41:M41"/>
    <mergeCell ref="D36:M36"/>
    <mergeCell ref="H32:M32"/>
    <mergeCell ref="I24:J24"/>
    <mergeCell ref="B42:M42"/>
    <mergeCell ref="B45:C51"/>
    <mergeCell ref="B52:C58"/>
    <mergeCell ref="B30:G30"/>
    <mergeCell ref="B31:G31"/>
    <mergeCell ref="B32:G32"/>
    <mergeCell ref="B33:G33"/>
    <mergeCell ref="B34:G34"/>
    <mergeCell ref="H30:M30"/>
    <mergeCell ref="H34:M34"/>
    <mergeCell ref="H33:M33"/>
    <mergeCell ref="B39:C39"/>
    <mergeCell ref="D39:M39"/>
    <mergeCell ref="D66:E71"/>
    <mergeCell ref="F66:G71"/>
    <mergeCell ref="F108:G108"/>
    <mergeCell ref="B111:M111"/>
    <mergeCell ref="A1:M1"/>
    <mergeCell ref="D52:E58"/>
    <mergeCell ref="F52:G58"/>
    <mergeCell ref="B37:C37"/>
    <mergeCell ref="B27:M27"/>
    <mergeCell ref="B28:M28"/>
    <mergeCell ref="B36:C36"/>
    <mergeCell ref="B35:M35"/>
    <mergeCell ref="B38:C38"/>
    <mergeCell ref="B43:C44"/>
    <mergeCell ref="D43:E44"/>
    <mergeCell ref="F43:G44"/>
    <mergeCell ref="B12:C12"/>
    <mergeCell ref="D12:H12"/>
    <mergeCell ref="I12:J12"/>
    <mergeCell ref="K12:M12"/>
    <mergeCell ref="K13:M13"/>
    <mergeCell ref="K16:M16"/>
    <mergeCell ref="B16:C16"/>
    <mergeCell ref="H31:M31"/>
    <mergeCell ref="D112:E112"/>
    <mergeCell ref="F112:G112"/>
    <mergeCell ref="B110:M110"/>
    <mergeCell ref="H112:I112"/>
    <mergeCell ref="D72:E77"/>
    <mergeCell ref="F72:G77"/>
    <mergeCell ref="D78:E83"/>
    <mergeCell ref="F78:G83"/>
    <mergeCell ref="D84:E89"/>
    <mergeCell ref="F84:G89"/>
    <mergeCell ref="D90:E95"/>
    <mergeCell ref="F90:G95"/>
    <mergeCell ref="D96:E101"/>
    <mergeCell ref="F96:G101"/>
    <mergeCell ref="D102:E107"/>
    <mergeCell ref="F102:G107"/>
    <mergeCell ref="B59:C65"/>
    <mergeCell ref="B66:C71"/>
    <mergeCell ref="B72:C77"/>
    <mergeCell ref="B78:C83"/>
    <mergeCell ref="B84:C89"/>
    <mergeCell ref="B90:C95"/>
    <mergeCell ref="B96:C101"/>
    <mergeCell ref="B102:C107"/>
    <mergeCell ref="B122:M122"/>
    <mergeCell ref="F113:G113"/>
    <mergeCell ref="D116:E116"/>
    <mergeCell ref="F116:G116"/>
    <mergeCell ref="D115:E115"/>
    <mergeCell ref="F115:G115"/>
    <mergeCell ref="H115:I115"/>
    <mergeCell ref="D117:E117"/>
    <mergeCell ref="D114:E114"/>
    <mergeCell ref="F114:G114"/>
    <mergeCell ref="H113:I113"/>
    <mergeCell ref="D113:E113"/>
    <mergeCell ref="D59:E65"/>
    <mergeCell ref="F59:G65"/>
    <mergeCell ref="B112:C112"/>
    <mergeCell ref="D108:E108"/>
  </mergeCells>
  <conditionalFormatting sqref="H108:M108">
    <cfRule type="cellIs" dxfId="22" priority="3" operator="equal">
      <formula>0</formula>
    </cfRule>
  </conditionalFormatting>
  <pageMargins left="0.23622047244094491" right="0.23622047244094491" top="0.74803149606299213" bottom="0.74803149606299213" header="0.31496062992125984" footer="0.31496062992125984"/>
  <pageSetup scale="45" fitToHeight="0" orientation="portrait" horizontalDpi="1200" verticalDpi="1200" r:id="rId1"/>
  <headerFooter>
    <oddFooter>Página &amp;P&amp;R</oddFooter>
  </headerFooter>
  <rowBreaks count="2" manualBreakCount="2">
    <brk id="34" min="1" max="12" man="1"/>
    <brk id="108" min="1"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24917-AA49-4288-AF42-792988DC76CD}">
  <sheetPr>
    <tabColor theme="0" tint="-0.499984740745262"/>
    <pageSetUpPr fitToPage="1"/>
  </sheetPr>
  <dimension ref="A1:N81"/>
  <sheetViews>
    <sheetView showGridLines="0" topLeftCell="A34" zoomScale="60" zoomScaleNormal="60" zoomScaleSheetLayoutView="50" workbookViewId="0">
      <selection activeCell="G19" sqref="G19"/>
    </sheetView>
  </sheetViews>
  <sheetFormatPr baseColWidth="10" defaultColWidth="11.453125" defaultRowHeight="21" x14ac:dyDescent="0.35"/>
  <cols>
    <col min="1" max="1" width="8.54296875" style="15" customWidth="1"/>
    <col min="2" max="2" width="12.81640625" style="15" customWidth="1"/>
    <col min="3" max="3" width="41.453125" style="15" customWidth="1"/>
    <col min="4" max="4" width="30.1796875" style="15" customWidth="1"/>
    <col min="5" max="5" width="15" style="15" customWidth="1"/>
    <col min="6" max="6" width="16.1796875" style="15" customWidth="1"/>
    <col min="7" max="7" width="21.1796875" style="15" customWidth="1"/>
    <col min="8" max="8" width="20.26953125" style="15" customWidth="1"/>
    <col min="9" max="9" width="18.1796875" style="15" customWidth="1"/>
    <col min="10" max="11" width="17.7265625" style="15" customWidth="1"/>
    <col min="12" max="12" width="17.81640625" style="15" customWidth="1"/>
    <col min="13" max="13" width="51.7265625" style="15" customWidth="1"/>
    <col min="14" max="14" width="12.26953125" style="15" bestFit="1" customWidth="1"/>
    <col min="15" max="16384" width="11.453125" style="15"/>
  </cols>
  <sheetData>
    <row r="1" spans="1:14" ht="70.5" customHeight="1" x14ac:dyDescent="0.35">
      <c r="A1" s="1359" t="s">
        <v>1031</v>
      </c>
      <c r="B1" s="1359"/>
      <c r="C1" s="1359"/>
      <c r="D1" s="1359"/>
      <c r="E1" s="1359"/>
      <c r="F1" s="1359"/>
      <c r="G1" s="1359"/>
      <c r="H1" s="1359"/>
      <c r="I1" s="1359"/>
      <c r="J1" s="1359"/>
      <c r="K1" s="1359"/>
      <c r="L1" s="1359"/>
      <c r="M1" s="133"/>
      <c r="N1" s="133"/>
    </row>
    <row r="3" spans="1:14" x14ac:dyDescent="0.35">
      <c r="I3" s="20" t="s">
        <v>853</v>
      </c>
    </row>
    <row r="4" spans="1:14" x14ac:dyDescent="0.35">
      <c r="I4" s="20" t="s">
        <v>854</v>
      </c>
    </row>
    <row r="7" spans="1:14" ht="42" customHeight="1" x14ac:dyDescent="0.35">
      <c r="B7" s="1500" t="s">
        <v>1032</v>
      </c>
      <c r="C7" s="1500"/>
      <c r="D7" s="1500"/>
      <c r="E7" s="1500"/>
      <c r="F7" s="1500"/>
      <c r="G7" s="1500"/>
      <c r="H7" s="1500"/>
      <c r="I7" s="1500"/>
      <c r="J7" s="1500"/>
      <c r="K7" s="1500"/>
      <c r="L7" s="1500"/>
    </row>
    <row r="8" spans="1:14" ht="22.5" customHeight="1" x14ac:dyDescent="0.35">
      <c r="B8" s="3" t="s">
        <v>1033</v>
      </c>
      <c r="C8" s="4"/>
      <c r="D8" s="4"/>
      <c r="E8" s="4"/>
      <c r="F8" s="4"/>
      <c r="G8" s="4"/>
      <c r="H8" s="4"/>
      <c r="J8" s="4"/>
      <c r="K8" s="4"/>
      <c r="L8" s="4"/>
    </row>
    <row r="9" spans="1:14" ht="21.5" thickBot="1" x14ac:dyDescent="0.4">
      <c r="B9" s="1414" t="str">
        <f>+'1. V.Inicial- DX (Gestor)'!B9</f>
        <v>Versión 1: 08/06/2020</v>
      </c>
      <c r="C9" s="1414"/>
      <c r="K9" s="1352"/>
      <c r="L9" s="1352"/>
    </row>
    <row r="10" spans="1:14" ht="45" customHeight="1" thickBot="1" x14ac:dyDescent="0.4">
      <c r="B10" s="1170" t="s">
        <v>858</v>
      </c>
      <c r="C10" s="1132"/>
      <c r="D10" s="1132"/>
      <c r="E10" s="1132"/>
      <c r="F10" s="1132"/>
      <c r="G10" s="1132"/>
      <c r="H10" s="1132"/>
      <c r="I10" s="1132"/>
      <c r="J10" s="1132"/>
      <c r="K10" s="1132"/>
      <c r="L10" s="1133"/>
    </row>
    <row r="11" spans="1:14" ht="45" customHeight="1" thickBot="1" x14ac:dyDescent="0.4">
      <c r="B11" s="1458" t="s">
        <v>1034</v>
      </c>
      <c r="C11" s="1459"/>
      <c r="D11" s="1459"/>
      <c r="E11" s="1459"/>
      <c r="F11" s="1459"/>
      <c r="G11" s="1459"/>
      <c r="H11" s="1459"/>
      <c r="I11" s="1459"/>
      <c r="J11" s="1459"/>
      <c r="K11" s="1459"/>
      <c r="L11" s="1460"/>
    </row>
    <row r="12" spans="1:14" ht="42.75" customHeight="1" thickBot="1" x14ac:dyDescent="0.4">
      <c r="B12" s="1518" t="s">
        <v>1035</v>
      </c>
      <c r="C12" s="1519"/>
      <c r="D12" s="1520" t="str">
        <f>+'1. V.Inicial- DX (Gestor)'!C12</f>
        <v>ABC</v>
      </c>
      <c r="E12" s="1521"/>
      <c r="F12" s="1521"/>
      <c r="G12" s="1522"/>
      <c r="H12" s="1518" t="s">
        <v>861</v>
      </c>
      <c r="I12" s="1519"/>
      <c r="J12" s="1520">
        <f>+'1. V.Inicial- DX (Gestor)'!J12</f>
        <v>8</v>
      </c>
      <c r="K12" s="1521"/>
      <c r="L12" s="1522"/>
    </row>
    <row r="13" spans="1:14" ht="42.75" customHeight="1" thickBot="1" x14ac:dyDescent="0.4">
      <c r="B13" s="1518" t="s">
        <v>1036</v>
      </c>
      <c r="C13" s="1519"/>
      <c r="D13" s="1520" t="str">
        <f>+'1. V.Inicial- DX (Gestor)'!C55</f>
        <v>Productividad operacional</v>
      </c>
      <c r="E13" s="1521"/>
      <c r="F13" s="1521"/>
      <c r="G13" s="1522"/>
      <c r="H13" s="1528" t="s">
        <v>1037</v>
      </c>
      <c r="I13" s="1529"/>
      <c r="J13" s="1533">
        <f>+'2. Plan de Trabajo (Ext)'!K16</f>
        <v>50</v>
      </c>
      <c r="K13" s="1534"/>
      <c r="L13" s="1535"/>
    </row>
    <row r="14" spans="1:14" ht="42.75" customHeight="1" thickBot="1" x14ac:dyDescent="0.4">
      <c r="B14" s="1528" t="s">
        <v>1038</v>
      </c>
      <c r="C14" s="1529"/>
      <c r="D14" s="1536">
        <f>+'2. Plan de Trabajo (Ext)'!D13:H13</f>
        <v>44221</v>
      </c>
      <c r="E14" s="1522"/>
      <c r="F14" s="1537">
        <f>+'2. Plan de Trabajo (Ext)'!K13</f>
        <v>44281</v>
      </c>
      <c r="G14" s="1522"/>
      <c r="H14" s="1528" t="s">
        <v>1039</v>
      </c>
      <c r="I14" s="1529"/>
      <c r="J14" s="1538" t="s">
        <v>1040</v>
      </c>
      <c r="K14" s="1539"/>
      <c r="L14" s="1540"/>
    </row>
    <row r="15" spans="1:14" ht="58.5" customHeight="1" thickBot="1" x14ac:dyDescent="0.4">
      <c r="B15" s="1523" t="s">
        <v>1041</v>
      </c>
      <c r="C15" s="1524"/>
      <c r="D15" s="1525">
        <v>30</v>
      </c>
      <c r="E15" s="1526"/>
      <c r="F15" s="1526"/>
      <c r="G15" s="1527"/>
      <c r="H15" s="1528" t="s">
        <v>1042</v>
      </c>
      <c r="I15" s="1529"/>
      <c r="J15" s="1530">
        <f>+D15/J13</f>
        <v>0.6</v>
      </c>
      <c r="K15" s="1531"/>
      <c r="L15" s="1532"/>
      <c r="M15" s="191"/>
      <c r="N15" s="218"/>
    </row>
    <row r="16" spans="1:14" ht="34.5" customHeight="1" thickBot="1" x14ac:dyDescent="0.4">
      <c r="D16" s="216"/>
    </row>
    <row r="17" spans="2:12" ht="34.5" customHeight="1" thickBot="1" x14ac:dyDescent="0.4">
      <c r="B17" s="1170" t="s">
        <v>1043</v>
      </c>
      <c r="C17" s="1132"/>
      <c r="D17" s="1132"/>
      <c r="E17" s="1132"/>
      <c r="F17" s="1132"/>
      <c r="G17" s="1132"/>
      <c r="H17" s="1132"/>
      <c r="I17" s="1132"/>
      <c r="J17" s="1132"/>
      <c r="K17" s="1132"/>
      <c r="L17" s="1133"/>
    </row>
    <row r="18" spans="2:12" ht="48.75" customHeight="1" thickBot="1" x14ac:dyDescent="0.4">
      <c r="B18" s="1458" t="s">
        <v>1044</v>
      </c>
      <c r="C18" s="1459"/>
      <c r="D18" s="1459"/>
      <c r="E18" s="1459"/>
      <c r="F18" s="1459"/>
      <c r="G18" s="1459"/>
      <c r="H18" s="1459"/>
      <c r="I18" s="1459"/>
      <c r="J18" s="1459"/>
      <c r="K18" s="1459"/>
      <c r="L18" s="1460"/>
    </row>
    <row r="19" spans="2:12" ht="78" customHeight="1" thickBot="1" x14ac:dyDescent="0.4">
      <c r="B19" s="147" t="s">
        <v>734</v>
      </c>
      <c r="C19" s="148" t="s">
        <v>1045</v>
      </c>
      <c r="D19" s="148" t="s">
        <v>1046</v>
      </c>
      <c r="E19" s="148" t="s">
        <v>1047</v>
      </c>
      <c r="F19" s="813" t="s">
        <v>1048</v>
      </c>
      <c r="G19" s="148" t="s">
        <v>1049</v>
      </c>
      <c r="H19" s="813" t="s">
        <v>1050</v>
      </c>
      <c r="I19" s="1513" t="s">
        <v>1051</v>
      </c>
      <c r="J19" s="1514"/>
      <c r="K19" s="1514"/>
      <c r="L19" s="1515"/>
    </row>
    <row r="20" spans="2:12" ht="141" customHeight="1" thickBot="1" x14ac:dyDescent="0.4">
      <c r="B20" s="186">
        <v>1</v>
      </c>
      <c r="C20" s="187" t="str">
        <f>+'2. Plan de Trabajo (Ext)'!C113</f>
        <v>Reducción de tiempo de no valor agregado (TNVA)</v>
      </c>
      <c r="D20" s="205" t="str">
        <f>+'2. Plan de Trabajo (Ext)'!H113</f>
        <v>45 Minutos Tiempo medio de llamadas soporte (call center)
45 Minutos *</v>
      </c>
      <c r="E20" s="164" t="s">
        <v>1052</v>
      </c>
      <c r="F20" s="150" t="s">
        <v>1053</v>
      </c>
      <c r="G20" s="814" t="s">
        <v>1054</v>
      </c>
      <c r="H20" s="211" t="s">
        <v>1055</v>
      </c>
      <c r="I20" s="1516" t="s">
        <v>1056</v>
      </c>
      <c r="J20" s="1516"/>
      <c r="K20" s="1516"/>
      <c r="L20" s="1517"/>
    </row>
    <row r="21" spans="2:12" ht="141" customHeight="1" thickBot="1" x14ac:dyDescent="0.4">
      <c r="B21" s="188">
        <v>2</v>
      </c>
      <c r="C21" s="187" t="str">
        <f>+'2. Plan de Trabajo (Ext)'!C114</f>
        <v>Ahorros generados por reducción de desperdicios (AD)</v>
      </c>
      <c r="D21" s="206" t="str">
        <f>+'2. Plan de Trabajo (Ext)'!H114</f>
        <v>8 Horas coordinador (8*23900)+ 3 agentes x 8 Horas X costo unitario del valor hora (8700)</v>
      </c>
      <c r="E21" s="164" t="s">
        <v>1052</v>
      </c>
      <c r="F21" s="149" t="s">
        <v>1053</v>
      </c>
      <c r="G21" s="173" t="str">
        <f>+D21</f>
        <v>8 Horas coordinador (8*23900)+ 3 agentes x 8 Horas X costo unitario del valor hora (8700)</v>
      </c>
      <c r="H21" s="212">
        <v>400000</v>
      </c>
      <c r="I21" s="1501" t="s">
        <v>1057</v>
      </c>
      <c r="J21" s="1501"/>
      <c r="K21" s="1501"/>
      <c r="L21" s="1502"/>
    </row>
    <row r="22" spans="2:12" ht="141" customHeight="1" x14ac:dyDescent="0.35">
      <c r="B22" s="188">
        <v>3</v>
      </c>
      <c r="C22" s="187">
        <f>+'2. Plan de Trabajo (Ext)'!C115</f>
        <v>0</v>
      </c>
      <c r="D22" s="207" t="str">
        <f>+'2. Plan de Trabajo (Ext)'!H115</f>
        <v>Venta: 5 días
Soporte: 2 días
y Logística: 1 días</v>
      </c>
      <c r="E22" s="164" t="s">
        <v>1052</v>
      </c>
      <c r="F22" s="149" t="s">
        <v>1053</v>
      </c>
      <c r="G22" s="173" t="s">
        <v>1058</v>
      </c>
      <c r="H22" s="213">
        <v>8</v>
      </c>
      <c r="I22" s="1508" t="s">
        <v>1059</v>
      </c>
      <c r="J22" s="1509"/>
      <c r="K22" s="1509"/>
      <c r="L22" s="1510"/>
    </row>
    <row r="23" spans="2:12" ht="141" customHeight="1" x14ac:dyDescent="0.35">
      <c r="B23" s="188">
        <v>4</v>
      </c>
      <c r="C23" s="195" t="str">
        <f>+'2. Plan de Trabajo (Ext)'!C116</f>
        <v>Tasa de Ventas</v>
      </c>
      <c r="D23" s="155" t="str">
        <f>+'2. Plan de Trabajo (Ext)'!H116</f>
        <v>Clientes potenciales : 50
Ventas: $1,000,000
= 0,005%</v>
      </c>
      <c r="E23" s="164" t="s">
        <v>1052</v>
      </c>
      <c r="F23" s="149"/>
      <c r="G23" s="135"/>
      <c r="H23" s="135"/>
      <c r="I23" s="1387"/>
      <c r="J23" s="1388"/>
      <c r="K23" s="1388"/>
      <c r="L23" s="1389"/>
    </row>
    <row r="24" spans="2:12" ht="141" customHeight="1" thickBot="1" x14ac:dyDescent="0.4">
      <c r="B24" s="190">
        <v>5</v>
      </c>
      <c r="C24" s="196">
        <f>+'2. Plan de Trabajo (Ext)'!C117</f>
        <v>0</v>
      </c>
      <c r="D24" s="156">
        <f>+'2. Plan de Trabajo (Ext)'!H117</f>
        <v>0</v>
      </c>
      <c r="E24" s="209" t="s">
        <v>1052</v>
      </c>
      <c r="F24" s="151"/>
      <c r="G24" s="141"/>
      <c r="H24" s="141"/>
      <c r="I24" s="1410"/>
      <c r="J24" s="1511"/>
      <c r="K24" s="1511"/>
      <c r="L24" s="1512"/>
    </row>
    <row r="25" spans="2:12" ht="34.5" customHeight="1" x14ac:dyDescent="0.35">
      <c r="D25" s="32"/>
    </row>
    <row r="26" spans="2:12" ht="34.5" customHeight="1" thickBot="1" x14ac:dyDescent="0.4">
      <c r="D26" s="32"/>
    </row>
    <row r="27" spans="2:12" ht="45" customHeight="1" thickBot="1" x14ac:dyDescent="0.4">
      <c r="B27" s="1170" t="s">
        <v>1060</v>
      </c>
      <c r="C27" s="1132"/>
      <c r="D27" s="1132"/>
      <c r="E27" s="1132"/>
      <c r="F27" s="1132"/>
      <c r="G27" s="1132"/>
      <c r="H27" s="1132"/>
      <c r="I27" s="1132"/>
      <c r="J27" s="1132"/>
      <c r="K27" s="1132"/>
      <c r="L27" s="1133"/>
    </row>
    <row r="28" spans="2:12" ht="67.5" customHeight="1" thickBot="1" x14ac:dyDescent="0.4">
      <c r="B28" s="1493" t="s">
        <v>1061</v>
      </c>
      <c r="C28" s="1494"/>
      <c r="D28" s="1494"/>
      <c r="E28" s="1494"/>
      <c r="F28" s="1494"/>
      <c r="G28" s="1494"/>
      <c r="H28" s="1494"/>
      <c r="I28" s="1494"/>
      <c r="J28" s="1494"/>
      <c r="K28" s="1494"/>
      <c r="L28" s="1495"/>
    </row>
    <row r="29" spans="2:12" ht="92.25" customHeight="1" thickBot="1" x14ac:dyDescent="0.4">
      <c r="B29" s="137" t="s">
        <v>1062</v>
      </c>
      <c r="C29" s="815" t="s">
        <v>1063</v>
      </c>
      <c r="D29" s="815" t="s">
        <v>1064</v>
      </c>
      <c r="E29" s="1476" t="s">
        <v>1050</v>
      </c>
      <c r="F29" s="1476"/>
      <c r="G29" s="1476"/>
      <c r="H29" s="1476" t="s">
        <v>1065</v>
      </c>
      <c r="I29" s="1476"/>
      <c r="J29" s="1476"/>
      <c r="K29" s="1476"/>
      <c r="L29" s="1477"/>
    </row>
    <row r="30" spans="2:12" ht="28.5" customHeight="1" x14ac:dyDescent="0.35">
      <c r="B30" s="138">
        <v>44013</v>
      </c>
      <c r="C30" s="214" t="s">
        <v>1066</v>
      </c>
      <c r="D30" s="136">
        <v>8</v>
      </c>
      <c r="E30" s="1488" t="s">
        <v>1067</v>
      </c>
      <c r="F30" s="1489"/>
      <c r="G30" s="1490"/>
      <c r="H30" s="1491"/>
      <c r="I30" s="1491"/>
      <c r="J30" s="1491"/>
      <c r="K30" s="1491"/>
      <c r="L30" s="1492"/>
    </row>
    <row r="31" spans="2:12" ht="28.5" customHeight="1" x14ac:dyDescent="0.35">
      <c r="B31" s="139">
        <v>44017</v>
      </c>
      <c r="C31" s="135"/>
      <c r="D31" s="134">
        <v>9</v>
      </c>
      <c r="E31" s="1503"/>
      <c r="F31" s="1504"/>
      <c r="G31" s="1505"/>
      <c r="H31" s="1387"/>
      <c r="I31" s="1388"/>
      <c r="J31" s="1388"/>
      <c r="K31" s="1388"/>
      <c r="L31" s="1389"/>
    </row>
    <row r="32" spans="2:12" ht="28.5" customHeight="1" x14ac:dyDescent="0.35">
      <c r="B32" s="139">
        <v>44019</v>
      </c>
      <c r="C32" s="135"/>
      <c r="D32" s="134">
        <v>1</v>
      </c>
      <c r="E32" s="1503"/>
      <c r="F32" s="1504"/>
      <c r="G32" s="1505"/>
      <c r="H32" s="1387"/>
      <c r="I32" s="1388"/>
      <c r="J32" s="1388"/>
      <c r="K32" s="1388"/>
      <c r="L32" s="1389"/>
    </row>
    <row r="33" spans="2:13" ht="28.5" customHeight="1" x14ac:dyDescent="0.35">
      <c r="B33" s="139">
        <v>44020</v>
      </c>
      <c r="C33" s="135"/>
      <c r="D33" s="134">
        <v>2</v>
      </c>
      <c r="E33" s="1503"/>
      <c r="F33" s="1504"/>
      <c r="G33" s="1505"/>
      <c r="H33" s="1387"/>
      <c r="I33" s="1388"/>
      <c r="J33" s="1388"/>
      <c r="K33" s="1388"/>
      <c r="L33" s="1389"/>
    </row>
    <row r="34" spans="2:13" ht="28.5" customHeight="1" x14ac:dyDescent="0.35">
      <c r="B34" s="139"/>
      <c r="C34" s="135"/>
      <c r="D34" s="135"/>
      <c r="E34" s="1421"/>
      <c r="F34" s="1421"/>
      <c r="G34" s="1421"/>
      <c r="H34" s="1387"/>
      <c r="I34" s="1388"/>
      <c r="J34" s="1388"/>
      <c r="K34" s="1388"/>
      <c r="L34" s="1389"/>
    </row>
    <row r="35" spans="2:13" ht="28.5" customHeight="1" thickBot="1" x14ac:dyDescent="0.4">
      <c r="B35" s="140"/>
      <c r="C35" s="141"/>
      <c r="D35" s="141"/>
      <c r="E35" s="1412"/>
      <c r="F35" s="1412"/>
      <c r="G35" s="1412"/>
      <c r="H35" s="1412"/>
      <c r="I35" s="1412"/>
      <c r="J35" s="1412"/>
      <c r="K35" s="1412"/>
      <c r="L35" s="1413"/>
    </row>
    <row r="36" spans="2:13" ht="27" customHeight="1" thickBot="1" x14ac:dyDescent="0.4">
      <c r="B36" s="142">
        <f>COUNTA(B30:B35)</f>
        <v>4</v>
      </c>
      <c r="C36" s="143"/>
      <c r="D36" s="144">
        <f>SUM(D30:D35)</f>
        <v>20</v>
      </c>
      <c r="E36" s="1478"/>
      <c r="F36" s="1239"/>
      <c r="G36" s="1479"/>
      <c r="H36" s="1480" t="s">
        <v>1068</v>
      </c>
      <c r="I36" s="1438"/>
      <c r="J36" s="1438"/>
      <c r="K36" s="1481"/>
      <c r="L36" s="145">
        <f>+(D36/J13)*100%</f>
        <v>0.4</v>
      </c>
      <c r="M36" s="217"/>
    </row>
    <row r="37" spans="2:13" ht="17.149999999999999" customHeight="1" thickBot="1" x14ac:dyDescent="0.4">
      <c r="B37" s="48"/>
      <c r="C37" s="3"/>
      <c r="D37" s="215"/>
      <c r="E37" s="20"/>
      <c r="F37" s="20"/>
      <c r="G37" s="20"/>
      <c r="J37" s="20"/>
      <c r="K37" s="20"/>
      <c r="L37" s="20"/>
    </row>
    <row r="38" spans="2:13" ht="45" customHeight="1" thickBot="1" x14ac:dyDescent="0.4">
      <c r="B38" s="1130" t="s">
        <v>1069</v>
      </c>
      <c r="C38" s="1131"/>
      <c r="D38" s="1132"/>
      <c r="E38" s="1132"/>
      <c r="F38" s="1132"/>
      <c r="G38" s="1132"/>
      <c r="H38" s="1132"/>
      <c r="I38" s="1132"/>
      <c r="J38" s="1132"/>
      <c r="K38" s="1132"/>
      <c r="L38" s="1133"/>
    </row>
    <row r="39" spans="2:13" ht="37.5" customHeight="1" thickBot="1" x14ac:dyDescent="0.4">
      <c r="B39" s="1390" t="s">
        <v>1070</v>
      </c>
      <c r="C39" s="1391"/>
      <c r="D39" s="1391"/>
      <c r="E39" s="1391"/>
      <c r="F39" s="1391"/>
      <c r="G39" s="1391"/>
      <c r="H39" s="1391"/>
      <c r="I39" s="1391"/>
      <c r="J39" s="1391"/>
      <c r="K39" s="1391"/>
      <c r="L39" s="1408"/>
    </row>
    <row r="40" spans="2:13" ht="179.15" customHeight="1" x14ac:dyDescent="0.35">
      <c r="B40" s="1482"/>
      <c r="C40" s="1483"/>
      <c r="D40" s="1483"/>
      <c r="E40" s="1483"/>
      <c r="F40" s="1483"/>
      <c r="G40" s="1483"/>
      <c r="H40" s="1483"/>
      <c r="I40" s="1483"/>
      <c r="J40" s="1483"/>
      <c r="K40" s="1483"/>
      <c r="L40" s="1484"/>
    </row>
    <row r="41" spans="2:13" ht="209.15" customHeight="1" thickBot="1" x14ac:dyDescent="0.4">
      <c r="B41" s="1485"/>
      <c r="C41" s="1486"/>
      <c r="D41" s="1486"/>
      <c r="E41" s="1486"/>
      <c r="F41" s="1486"/>
      <c r="G41" s="1486"/>
      <c r="H41" s="1486"/>
      <c r="I41" s="1486"/>
      <c r="J41" s="1486"/>
      <c r="K41" s="1486"/>
      <c r="L41" s="1487"/>
    </row>
    <row r="42" spans="2:13" ht="17.149999999999999" customHeight="1" x14ac:dyDescent="0.35">
      <c r="B42" s="42"/>
      <c r="C42" s="9"/>
      <c r="D42" s="29"/>
      <c r="E42" s="29"/>
      <c r="F42" s="29"/>
      <c r="G42" s="29"/>
      <c r="H42" s="29"/>
      <c r="I42" s="29"/>
      <c r="J42" s="9"/>
      <c r="K42" s="43"/>
      <c r="L42" s="43"/>
    </row>
    <row r="43" spans="2:13" ht="30.75" customHeight="1" thickBot="1" x14ac:dyDescent="0.4">
      <c r="B43" s="1195" t="s">
        <v>1071</v>
      </c>
      <c r="C43" s="1196"/>
      <c r="D43" s="1196"/>
      <c r="E43" s="1196"/>
      <c r="F43" s="1196"/>
      <c r="G43" s="1196"/>
      <c r="H43" s="1196"/>
      <c r="I43" s="1196"/>
      <c r="J43" s="1196"/>
      <c r="K43" s="1196"/>
      <c r="L43" s="1196"/>
    </row>
    <row r="44" spans="2:13" ht="23.15" customHeight="1" x14ac:dyDescent="0.35">
      <c r="B44" s="21"/>
      <c r="C44" s="22"/>
      <c r="D44" s="23"/>
      <c r="E44" s="21"/>
      <c r="F44" s="22"/>
      <c r="G44" s="22"/>
      <c r="H44" s="23"/>
      <c r="I44" s="21"/>
      <c r="J44" s="22"/>
      <c r="K44" s="22"/>
      <c r="L44" s="23"/>
    </row>
    <row r="45" spans="2:13" ht="23.15" customHeight="1" x14ac:dyDescent="0.35">
      <c r="B45" s="718"/>
      <c r="C45" s="719"/>
      <c r="D45" s="720"/>
      <c r="E45" s="721"/>
      <c r="F45" s="719"/>
      <c r="G45" s="719"/>
      <c r="H45" s="720"/>
      <c r="I45" s="721"/>
      <c r="J45" s="719"/>
      <c r="K45" s="719"/>
      <c r="L45" s="722"/>
    </row>
    <row r="46" spans="2:13" ht="23.15" customHeight="1" x14ac:dyDescent="0.35">
      <c r="B46" s="723"/>
      <c r="D46" s="25"/>
      <c r="E46" s="24"/>
      <c r="H46" s="25"/>
      <c r="I46" s="24"/>
      <c r="L46" s="724"/>
    </row>
    <row r="47" spans="2:13" ht="23.15" customHeight="1" x14ac:dyDescent="0.35">
      <c r="B47" s="725"/>
      <c r="C47" s="27"/>
      <c r="D47" s="28"/>
      <c r="E47" s="26"/>
      <c r="F47" s="27"/>
      <c r="G47" s="27"/>
      <c r="H47" s="28"/>
      <c r="I47" s="24"/>
      <c r="L47" s="724"/>
    </row>
    <row r="48" spans="2:13" ht="25.5" customHeight="1" x14ac:dyDescent="0.35">
      <c r="B48" s="726" t="s">
        <v>910</v>
      </c>
      <c r="C48" s="152" t="str">
        <f>+'2. Plan de Trabajo (Ext)'!D14</f>
        <v>YZ</v>
      </c>
      <c r="D48" s="158"/>
      <c r="E48" s="12" t="s">
        <v>910</v>
      </c>
      <c r="F48" s="159" t="str">
        <f>+'2. Plan de Trabajo (Ext)'!D15</f>
        <v>AB</v>
      </c>
      <c r="G48" s="129"/>
      <c r="H48" s="130"/>
      <c r="I48" s="12" t="s">
        <v>910</v>
      </c>
      <c r="J48" s="1435" t="str">
        <f>+'1. V.Inicial- DX (Gestor)'!I75</f>
        <v>ACB</v>
      </c>
      <c r="K48" s="1435"/>
      <c r="L48" s="1506"/>
    </row>
    <row r="49" spans="2:13" ht="34" customHeight="1" x14ac:dyDescent="0.35">
      <c r="B49" s="1496" t="s">
        <v>1027</v>
      </c>
      <c r="C49" s="1497"/>
      <c r="D49" s="1498"/>
      <c r="E49" s="1499" t="s">
        <v>1028</v>
      </c>
      <c r="F49" s="1497"/>
      <c r="G49" s="1497"/>
      <c r="H49" s="1498"/>
      <c r="I49" s="1499" t="s">
        <v>1072</v>
      </c>
      <c r="J49" s="1497"/>
      <c r="K49" s="1497"/>
      <c r="L49" s="1507"/>
    </row>
    <row r="50" spans="2:13" ht="19.5" customHeight="1" x14ac:dyDescent="0.35">
      <c r="B50" s="1473" t="s">
        <v>1073</v>
      </c>
      <c r="C50" s="1474"/>
      <c r="D50" s="1474"/>
      <c r="E50" s="1474"/>
      <c r="F50" s="1474"/>
      <c r="G50" s="1474"/>
      <c r="H50" s="1474"/>
      <c r="I50" s="1474"/>
      <c r="J50" s="1474"/>
      <c r="K50" s="1474"/>
      <c r="L50" s="1475"/>
    </row>
    <row r="51" spans="2:13" ht="19.5" customHeight="1" x14ac:dyDescent="0.35">
      <c r="B51" s="809"/>
      <c r="C51" s="809"/>
      <c r="D51" s="809"/>
      <c r="E51" s="809"/>
      <c r="F51" s="809"/>
      <c r="G51" s="809"/>
      <c r="H51" s="809"/>
      <c r="I51" s="809"/>
      <c r="J51" s="809"/>
      <c r="K51" s="809"/>
      <c r="L51" s="809"/>
    </row>
    <row r="52" spans="2:13" ht="19.5" customHeight="1" x14ac:dyDescent="0.35">
      <c r="B52" s="809"/>
      <c r="C52" s="809"/>
      <c r="D52" s="809"/>
      <c r="E52" s="809"/>
      <c r="F52" s="809"/>
      <c r="G52" s="809"/>
      <c r="H52" s="809"/>
      <c r="I52" s="809"/>
      <c r="J52" s="809"/>
      <c r="K52" s="809"/>
      <c r="L52" s="809"/>
    </row>
    <row r="53" spans="2:13" ht="19.5" customHeight="1" x14ac:dyDescent="0.35">
      <c r="B53" s="809"/>
      <c r="C53" s="809"/>
      <c r="D53" s="809"/>
      <c r="E53" s="809"/>
      <c r="F53" s="809"/>
      <c r="G53" s="809"/>
      <c r="H53" s="809"/>
      <c r="I53" s="809"/>
      <c r="J53" s="809"/>
      <c r="K53" s="809"/>
      <c r="L53" s="809"/>
    </row>
    <row r="54" spans="2:13" ht="19.5" customHeight="1" x14ac:dyDescent="0.35">
      <c r="B54" s="809"/>
      <c r="C54" s="809"/>
      <c r="D54" s="809"/>
      <c r="E54" s="809"/>
      <c r="F54" s="809"/>
      <c r="G54" s="809"/>
      <c r="H54" s="809"/>
      <c r="I54" s="809"/>
      <c r="J54" s="809"/>
      <c r="K54" s="809"/>
      <c r="L54" s="809"/>
    </row>
    <row r="55" spans="2:13" ht="21.5" thickBot="1" x14ac:dyDescent="0.4">
      <c r="B55" s="9" t="s">
        <v>1074</v>
      </c>
    </row>
    <row r="56" spans="2:13" ht="52" customHeight="1" thickBot="1" x14ac:dyDescent="0.4">
      <c r="B56" s="1170" t="s">
        <v>1075</v>
      </c>
      <c r="C56" s="1132"/>
      <c r="D56" s="1132"/>
      <c r="E56" s="1132"/>
      <c r="F56" s="1132"/>
      <c r="G56" s="1132"/>
      <c r="H56" s="1132"/>
      <c r="I56" s="1132"/>
      <c r="J56" s="1132"/>
      <c r="K56" s="1132"/>
      <c r="L56" s="1133"/>
    </row>
    <row r="57" spans="2:13" ht="28.5" customHeight="1" thickBot="1" x14ac:dyDescent="0.4">
      <c r="B57" s="1128" t="s">
        <v>1076</v>
      </c>
      <c r="C57" s="1457"/>
      <c r="D57" s="1457"/>
      <c r="E57" s="1457"/>
      <c r="F57" s="1457"/>
      <c r="G57" s="1129"/>
      <c r="H57" s="1454">
        <f>+'1. V.Inicial- DX (Gestor)'!C71</f>
        <v>0</v>
      </c>
      <c r="I57" s="1455"/>
      <c r="J57" s="1455"/>
      <c r="K57" s="1455"/>
      <c r="L57" s="1456"/>
      <c r="M57" s="246"/>
    </row>
    <row r="58" spans="2:13" ht="24" customHeight="1" thickBot="1" x14ac:dyDescent="0.4">
      <c r="B58" s="1465"/>
      <c r="C58" s="1466"/>
      <c r="D58" s="1466"/>
      <c r="E58" s="1466"/>
      <c r="F58" s="1466"/>
      <c r="G58" s="1466"/>
      <c r="H58" s="1466"/>
      <c r="I58" s="1466"/>
      <c r="J58" s="1466"/>
      <c r="K58" s="1466"/>
      <c r="L58" s="1467"/>
    </row>
    <row r="59" spans="2:13" ht="30.75" customHeight="1" thickBot="1" x14ac:dyDescent="0.4">
      <c r="B59" s="1195" t="s">
        <v>1077</v>
      </c>
      <c r="C59" s="1196"/>
      <c r="D59" s="1196"/>
      <c r="E59" s="1196"/>
      <c r="F59" s="1196"/>
      <c r="G59" s="1196"/>
      <c r="H59" s="1196"/>
      <c r="I59" s="1196"/>
      <c r="J59" s="1196"/>
      <c r="K59" s="1196"/>
      <c r="L59" s="1196"/>
    </row>
    <row r="60" spans="2:13" ht="54" customHeight="1" thickBot="1" x14ac:dyDescent="0.4">
      <c r="B60" s="1458" t="s">
        <v>1078</v>
      </c>
      <c r="C60" s="1459"/>
      <c r="D60" s="1459"/>
      <c r="E60" s="1459"/>
      <c r="F60" s="1459"/>
      <c r="G60" s="1459"/>
      <c r="H60" s="1459"/>
      <c r="I60" s="1459"/>
      <c r="J60" s="1459"/>
      <c r="K60" s="1459"/>
      <c r="L60" s="1460"/>
    </row>
    <row r="61" spans="2:13" ht="29.15" customHeight="1" x14ac:dyDescent="0.35">
      <c r="B61" s="21"/>
      <c r="C61" s="22"/>
      <c r="D61" s="22"/>
      <c r="E61" s="22"/>
      <c r="F61" s="22"/>
      <c r="G61" s="22"/>
      <c r="H61" s="22"/>
      <c r="I61" s="22"/>
      <c r="J61" s="22"/>
      <c r="K61" s="22"/>
      <c r="L61" s="23"/>
    </row>
    <row r="62" spans="2:13" ht="49.5" customHeight="1" x14ac:dyDescent="0.35">
      <c r="B62" s="24"/>
      <c r="L62" s="25"/>
    </row>
    <row r="63" spans="2:13" ht="49.5" customHeight="1" x14ac:dyDescent="0.35">
      <c r="B63" s="24"/>
      <c r="L63" s="25"/>
    </row>
    <row r="64" spans="2:13" ht="49.5" customHeight="1" thickBot="1" x14ac:dyDescent="0.4">
      <c r="B64" s="26"/>
      <c r="C64" s="27"/>
      <c r="D64" s="27"/>
      <c r="E64" s="27"/>
      <c r="F64" s="27"/>
      <c r="G64" s="27"/>
      <c r="H64" s="27"/>
      <c r="I64" s="27"/>
      <c r="J64" s="27"/>
      <c r="K64" s="27"/>
      <c r="L64" s="28"/>
    </row>
    <row r="65" spans="2:12" ht="30.65" customHeight="1" x14ac:dyDescent="0.35"/>
    <row r="66" spans="2:12" ht="26" x14ac:dyDescent="0.35">
      <c r="B66" s="1195" t="s">
        <v>1079</v>
      </c>
      <c r="C66" s="1196"/>
      <c r="D66" s="1196"/>
      <c r="E66" s="1196"/>
      <c r="F66" s="1196"/>
      <c r="G66" s="1196"/>
      <c r="H66" s="1196"/>
      <c r="I66" s="1196"/>
      <c r="J66" s="1196"/>
      <c r="K66" s="1196"/>
      <c r="L66" s="1196"/>
    </row>
    <row r="67" spans="2:12" ht="21.5" thickBot="1" x14ac:dyDescent="0.4">
      <c r="B67" s="1458" t="s">
        <v>1080</v>
      </c>
      <c r="C67" s="1459"/>
      <c r="D67" s="1459"/>
      <c r="E67" s="1459"/>
      <c r="F67" s="1459"/>
      <c r="G67" s="1459"/>
      <c r="H67" s="1459"/>
      <c r="I67" s="1459"/>
      <c r="J67" s="1459"/>
      <c r="K67" s="1459"/>
      <c r="L67" s="1460"/>
    </row>
    <row r="68" spans="2:12" ht="21.5" thickBot="1" x14ac:dyDescent="0.4">
      <c r="B68" s="1468" t="s">
        <v>1081</v>
      </c>
      <c r="C68" s="1341"/>
      <c r="D68" s="1469"/>
      <c r="E68" s="180" t="s">
        <v>1082</v>
      </c>
      <c r="F68" s="181" t="s">
        <v>887</v>
      </c>
      <c r="H68" s="1468" t="s">
        <v>1083</v>
      </c>
      <c r="I68" s="1341"/>
      <c r="J68" s="1469"/>
      <c r="K68" s="180" t="s">
        <v>1082</v>
      </c>
      <c r="L68" s="181" t="s">
        <v>887</v>
      </c>
    </row>
    <row r="69" spans="2:12" ht="21.5" thickBot="1" x14ac:dyDescent="0.4">
      <c r="B69" s="1462" t="s">
        <v>1084</v>
      </c>
      <c r="C69" s="1462"/>
      <c r="D69" s="1462"/>
      <c r="E69" s="182"/>
      <c r="F69" s="182"/>
      <c r="H69" s="1462" t="str">
        <f>+B69</f>
        <v>¿Ha dado cumplimiento al Cronograma?</v>
      </c>
      <c r="I69" s="1462"/>
      <c r="J69" s="1462"/>
      <c r="K69" s="182"/>
      <c r="L69" s="182" t="s">
        <v>46</v>
      </c>
    </row>
    <row r="70" spans="2:12" ht="58.5" customHeight="1" thickBot="1" x14ac:dyDescent="0.4">
      <c r="B70" s="1470" t="s">
        <v>1085</v>
      </c>
      <c r="C70" s="1471"/>
      <c r="D70" s="1472"/>
      <c r="E70" s="182"/>
      <c r="F70" s="182"/>
      <c r="H70" s="1461" t="s">
        <v>1086</v>
      </c>
      <c r="I70" s="1461"/>
      <c r="J70" s="1461"/>
      <c r="K70" s="182"/>
      <c r="L70" s="182"/>
    </row>
    <row r="71" spans="2:12" ht="39.65" customHeight="1" thickBot="1" x14ac:dyDescent="0.4">
      <c r="B71" s="1461" t="s">
        <v>1087</v>
      </c>
      <c r="C71" s="1461"/>
      <c r="D71" s="1461"/>
      <c r="E71" s="182"/>
      <c r="F71" s="182"/>
      <c r="H71" s="1463"/>
      <c r="I71" s="1463"/>
      <c r="J71" s="1463"/>
      <c r="K71" s="182"/>
      <c r="L71" s="182"/>
    </row>
    <row r="72" spans="2:12" ht="21.5" thickBot="1" x14ac:dyDescent="0.4">
      <c r="B72" s="1462" t="s">
        <v>1088</v>
      </c>
      <c r="C72" s="1462"/>
      <c r="D72" s="1462"/>
      <c r="E72" s="182"/>
      <c r="F72" s="182"/>
      <c r="H72" s="1464"/>
      <c r="I72" s="1464"/>
      <c r="J72" s="1464"/>
      <c r="K72" s="182"/>
      <c r="L72" s="182"/>
    </row>
    <row r="73" spans="2:12" ht="21.5" thickBot="1" x14ac:dyDescent="0.4">
      <c r="B73" s="1462" t="s">
        <v>1089</v>
      </c>
      <c r="C73" s="1462"/>
      <c r="D73" s="1462"/>
      <c r="E73" s="182"/>
      <c r="F73" s="182"/>
      <c r="H73" s="1464"/>
      <c r="I73" s="1464"/>
      <c r="J73" s="1464"/>
      <c r="K73" s="182"/>
      <c r="L73" s="182"/>
    </row>
    <row r="74" spans="2:12" ht="21.5" thickBot="1" x14ac:dyDescent="0.4">
      <c r="B74" s="1464"/>
      <c r="C74" s="1464"/>
      <c r="D74" s="1464"/>
      <c r="E74" s="182"/>
      <c r="F74" s="182"/>
      <c r="H74" s="1464"/>
      <c r="I74" s="1464"/>
      <c r="J74" s="1464"/>
      <c r="K74" s="182"/>
      <c r="L74" s="182"/>
    </row>
    <row r="76" spans="2:12" ht="26" x14ac:dyDescent="0.35">
      <c r="B76" s="1195" t="s">
        <v>1090</v>
      </c>
      <c r="C76" s="1196"/>
      <c r="D76" s="1196"/>
      <c r="E76" s="1196"/>
      <c r="F76" s="1196"/>
      <c r="G76" s="1196"/>
      <c r="H76" s="1196"/>
      <c r="I76" s="1196"/>
      <c r="J76" s="1196"/>
      <c r="K76" s="1196"/>
      <c r="L76" s="1196"/>
    </row>
    <row r="77" spans="2:12" ht="22.5" customHeight="1" thickBot="1" x14ac:dyDescent="0.4">
      <c r="B77" s="1458" t="s">
        <v>1091</v>
      </c>
      <c r="C77" s="1459"/>
      <c r="D77" s="1459"/>
      <c r="E77" s="1459"/>
      <c r="F77" s="1459"/>
      <c r="G77" s="1459"/>
      <c r="H77" s="1459"/>
      <c r="I77" s="1459"/>
      <c r="J77" s="1459"/>
      <c r="K77" s="1459"/>
      <c r="L77" s="1460"/>
    </row>
    <row r="78" spans="2:12" ht="34" customHeight="1" x14ac:dyDescent="0.35">
      <c r="B78" s="21"/>
      <c r="C78" s="22"/>
      <c r="D78" s="22"/>
      <c r="E78" s="22"/>
      <c r="F78" s="22"/>
      <c r="G78" s="22"/>
      <c r="H78" s="22"/>
      <c r="I78" s="22"/>
      <c r="J78" s="22"/>
      <c r="K78" s="22"/>
      <c r="L78" s="23"/>
    </row>
    <row r="79" spans="2:12" ht="34" customHeight="1" x14ac:dyDescent="0.35">
      <c r="B79" s="24"/>
      <c r="L79" s="25"/>
    </row>
    <row r="80" spans="2:12" ht="34" customHeight="1" x14ac:dyDescent="0.35">
      <c r="B80" s="24"/>
      <c r="L80" s="25"/>
    </row>
    <row r="81" spans="2:12" ht="34" customHeight="1" thickBot="1" x14ac:dyDescent="0.4">
      <c r="B81" s="26"/>
      <c r="C81" s="27"/>
      <c r="D81" s="27"/>
      <c r="E81" s="27"/>
      <c r="F81" s="27"/>
      <c r="G81" s="27"/>
      <c r="H81" s="27"/>
      <c r="I81" s="27"/>
      <c r="J81" s="27"/>
      <c r="K81" s="27"/>
      <c r="L81" s="28"/>
    </row>
  </sheetData>
  <mergeCells count="82">
    <mergeCell ref="B56:L56"/>
    <mergeCell ref="B11:L11"/>
    <mergeCell ref="B15:C15"/>
    <mergeCell ref="D15:G15"/>
    <mergeCell ref="H15:I15"/>
    <mergeCell ref="J15:L15"/>
    <mergeCell ref="B13:C13"/>
    <mergeCell ref="D13:G13"/>
    <mergeCell ref="H13:I13"/>
    <mergeCell ref="J13:L13"/>
    <mergeCell ref="B14:C14"/>
    <mergeCell ref="D14:E14"/>
    <mergeCell ref="F14:G14"/>
    <mergeCell ref="H14:I14"/>
    <mergeCell ref="J14:L14"/>
    <mergeCell ref="E31:G31"/>
    <mergeCell ref="A1:L1"/>
    <mergeCell ref="I22:L22"/>
    <mergeCell ref="I23:L23"/>
    <mergeCell ref="I24:L24"/>
    <mergeCell ref="B18:L18"/>
    <mergeCell ref="B17:L17"/>
    <mergeCell ref="I19:L19"/>
    <mergeCell ref="I20:L20"/>
    <mergeCell ref="B12:C12"/>
    <mergeCell ref="D12:G12"/>
    <mergeCell ref="H12:I12"/>
    <mergeCell ref="J12:L12"/>
    <mergeCell ref="B28:L28"/>
    <mergeCell ref="B49:D49"/>
    <mergeCell ref="E49:H49"/>
    <mergeCell ref="B7:L7"/>
    <mergeCell ref="B9:C9"/>
    <mergeCell ref="K9:L9"/>
    <mergeCell ref="B10:L10"/>
    <mergeCell ref="B27:L27"/>
    <mergeCell ref="I21:L21"/>
    <mergeCell ref="E32:G32"/>
    <mergeCell ref="E33:G33"/>
    <mergeCell ref="E34:G34"/>
    <mergeCell ref="E35:G35"/>
    <mergeCell ref="J48:L48"/>
    <mergeCell ref="I49:L49"/>
    <mergeCell ref="B50:L50"/>
    <mergeCell ref="B38:L38"/>
    <mergeCell ref="E29:G29"/>
    <mergeCell ref="H29:L29"/>
    <mergeCell ref="H32:L32"/>
    <mergeCell ref="H31:L31"/>
    <mergeCell ref="H35:L35"/>
    <mergeCell ref="E36:G36"/>
    <mergeCell ref="H36:K36"/>
    <mergeCell ref="H34:L34"/>
    <mergeCell ref="H33:L33"/>
    <mergeCell ref="B43:L43"/>
    <mergeCell ref="B39:L39"/>
    <mergeCell ref="B40:L41"/>
    <mergeCell ref="E30:G30"/>
    <mergeCell ref="H30:L30"/>
    <mergeCell ref="B76:L76"/>
    <mergeCell ref="B77:L77"/>
    <mergeCell ref="B58:L58"/>
    <mergeCell ref="B66:L66"/>
    <mergeCell ref="B68:D68"/>
    <mergeCell ref="H68:J68"/>
    <mergeCell ref="B69:D69"/>
    <mergeCell ref="B70:D70"/>
    <mergeCell ref="B73:D73"/>
    <mergeCell ref="B74:D74"/>
    <mergeCell ref="H73:J73"/>
    <mergeCell ref="H74:J74"/>
    <mergeCell ref="H57:L57"/>
    <mergeCell ref="B57:G57"/>
    <mergeCell ref="B67:L67"/>
    <mergeCell ref="B71:D71"/>
    <mergeCell ref="B72:D72"/>
    <mergeCell ref="H69:J69"/>
    <mergeCell ref="H70:J70"/>
    <mergeCell ref="H71:J71"/>
    <mergeCell ref="H72:J72"/>
    <mergeCell ref="B60:L60"/>
    <mergeCell ref="B59:L59"/>
  </mergeCells>
  <conditionalFormatting sqref="M36">
    <cfRule type="containsText" dxfId="21" priority="1" operator="containsText" text="&quot;horas validar&quot;">
      <formula>NOT(ISERROR(SEARCH("""horas validar""",M36)))</formula>
    </cfRule>
    <cfRule type="containsText" dxfId="20" priority="2" operator="containsText" text="horas validar">
      <formula>NOT(ISERROR(SEARCH("horas validar",M36)))</formula>
    </cfRule>
  </conditionalFormatting>
  <printOptions horizontalCentered="1" verticalCentered="1"/>
  <pageMargins left="0.23622047244094491" right="0.23622047244094491" top="0.74803149606299213" bottom="0.74803149606299213" header="0.31496062992125984" footer="0.31496062992125984"/>
  <pageSetup scale="45" fitToHeight="0" orientation="portrait" horizontalDpi="1200" verticalDpi="1200" r:id="rId1"/>
  <headerFooter scaleWithDoc="0" alignWithMargins="0">
    <oddFooter>Página &amp;P</oddFooter>
  </headerFooter>
  <rowBreaks count="1" manualBreakCount="1">
    <brk id="25" min="1" max="1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DFCA8-DF8D-405E-AC8F-794A6F8A11DD}">
  <sheetPr>
    <tabColor theme="0" tint="-0.499984740745262"/>
    <pageSetUpPr fitToPage="1"/>
  </sheetPr>
  <dimension ref="A1:N81"/>
  <sheetViews>
    <sheetView showGridLines="0" topLeftCell="A18" zoomScale="50" zoomScaleNormal="50" zoomScaleSheetLayoutView="50" workbookViewId="0">
      <selection activeCell="I21" sqref="I21:L21"/>
    </sheetView>
  </sheetViews>
  <sheetFormatPr baseColWidth="10" defaultColWidth="11.453125" defaultRowHeight="21" x14ac:dyDescent="0.35"/>
  <cols>
    <col min="1" max="1" width="8.54296875" style="15" customWidth="1"/>
    <col min="2" max="2" width="12.81640625" style="15" customWidth="1"/>
    <col min="3" max="3" width="41.453125" style="15" customWidth="1"/>
    <col min="4" max="4" width="30.1796875" style="15" customWidth="1"/>
    <col min="5" max="5" width="17.26953125" style="15" customWidth="1"/>
    <col min="6" max="6" width="16.1796875" style="15" customWidth="1"/>
    <col min="7" max="7" width="21.1796875" style="15" customWidth="1"/>
    <col min="8" max="8" width="20.26953125" style="15" customWidth="1"/>
    <col min="9" max="9" width="18.1796875" style="15" customWidth="1"/>
    <col min="10" max="11" width="17.7265625" style="15" customWidth="1"/>
    <col min="12" max="12" width="17.81640625" style="15" customWidth="1"/>
    <col min="13" max="13" width="51.7265625" style="15" customWidth="1"/>
    <col min="14" max="14" width="12.26953125" style="15" bestFit="1" customWidth="1"/>
    <col min="15" max="16384" width="11.453125" style="15"/>
  </cols>
  <sheetData>
    <row r="1" spans="1:14" ht="70.5" customHeight="1" x14ac:dyDescent="0.35">
      <c r="A1" s="1359" t="s">
        <v>1031</v>
      </c>
      <c r="B1" s="1359"/>
      <c r="C1" s="1359"/>
      <c r="D1" s="1359"/>
      <c r="E1" s="1359"/>
      <c r="F1" s="1359"/>
      <c r="G1" s="1359"/>
      <c r="H1" s="1359"/>
      <c r="I1" s="1359"/>
      <c r="J1" s="1359"/>
      <c r="K1" s="1359"/>
      <c r="L1" s="1359"/>
      <c r="M1" s="133"/>
      <c r="N1" s="133"/>
    </row>
    <row r="3" spans="1:14" x14ac:dyDescent="0.35">
      <c r="I3" s="20" t="s">
        <v>853</v>
      </c>
    </row>
    <row r="4" spans="1:14" x14ac:dyDescent="0.35">
      <c r="I4" s="20" t="s">
        <v>854</v>
      </c>
    </row>
    <row r="7" spans="1:14" ht="42" customHeight="1" x14ac:dyDescent="0.35">
      <c r="B7" s="1500" t="s">
        <v>1032</v>
      </c>
      <c r="C7" s="1500"/>
      <c r="D7" s="1500"/>
      <c r="E7" s="1500"/>
      <c r="F7" s="1500"/>
      <c r="G7" s="1500"/>
      <c r="H7" s="1500"/>
      <c r="I7" s="1500"/>
      <c r="J7" s="1500"/>
      <c r="K7" s="1500"/>
      <c r="L7" s="1500"/>
    </row>
    <row r="8" spans="1:14" ht="22.5" customHeight="1" x14ac:dyDescent="0.35">
      <c r="B8" s="3" t="s">
        <v>1033</v>
      </c>
      <c r="C8" s="4"/>
      <c r="D8" s="4"/>
      <c r="E8" s="4"/>
      <c r="F8" s="4"/>
      <c r="G8" s="4"/>
      <c r="H8" s="4"/>
      <c r="J8" s="4"/>
      <c r="K8" s="4"/>
      <c r="L8" s="4"/>
    </row>
    <row r="9" spans="1:14" ht="21.5" thickBot="1" x14ac:dyDescent="0.4">
      <c r="B9" s="1414" t="str">
        <f>+'1. V.Inicial- DX (Gestor)'!B9</f>
        <v>Versión 1: 08/06/2020</v>
      </c>
      <c r="C9" s="1414"/>
      <c r="K9" s="1352"/>
      <c r="L9" s="1352"/>
    </row>
    <row r="10" spans="1:14" ht="45" customHeight="1" thickBot="1" x14ac:dyDescent="0.4">
      <c r="B10" s="1170" t="s">
        <v>858</v>
      </c>
      <c r="C10" s="1132"/>
      <c r="D10" s="1132"/>
      <c r="E10" s="1132"/>
      <c r="F10" s="1132"/>
      <c r="G10" s="1132"/>
      <c r="H10" s="1132"/>
      <c r="I10" s="1132"/>
      <c r="J10" s="1132"/>
      <c r="K10" s="1132"/>
      <c r="L10" s="1133"/>
    </row>
    <row r="11" spans="1:14" ht="45" customHeight="1" thickBot="1" x14ac:dyDescent="0.4">
      <c r="B11" s="1458" t="s">
        <v>1034</v>
      </c>
      <c r="C11" s="1459"/>
      <c r="D11" s="1459"/>
      <c r="E11" s="1459"/>
      <c r="F11" s="1459"/>
      <c r="G11" s="1459"/>
      <c r="H11" s="1459"/>
      <c r="I11" s="1459"/>
      <c r="J11" s="1459"/>
      <c r="K11" s="1459"/>
      <c r="L11" s="1460"/>
    </row>
    <row r="12" spans="1:14" ht="42.75" customHeight="1" thickBot="1" x14ac:dyDescent="0.4">
      <c r="B12" s="1518" t="s">
        <v>1035</v>
      </c>
      <c r="C12" s="1519"/>
      <c r="D12" s="1520" t="str">
        <f>+'1. V.Inicial- DX (Gestor)'!C12</f>
        <v>ABC</v>
      </c>
      <c r="E12" s="1521"/>
      <c r="F12" s="1521"/>
      <c r="G12" s="1522"/>
      <c r="H12" s="1518" t="s">
        <v>861</v>
      </c>
      <c r="I12" s="1519"/>
      <c r="J12" s="1520">
        <f>+'1. V.Inicial- DX (Gestor)'!J12</f>
        <v>8</v>
      </c>
      <c r="K12" s="1521"/>
      <c r="L12" s="1522"/>
    </row>
    <row r="13" spans="1:14" ht="42.75" customHeight="1" thickBot="1" x14ac:dyDescent="0.4">
      <c r="B13" s="1518" t="s">
        <v>1036</v>
      </c>
      <c r="C13" s="1519"/>
      <c r="D13" s="1520" t="str">
        <f>+'1. V.Inicial- DX (Gestor)'!C55</f>
        <v>Productividad operacional</v>
      </c>
      <c r="E13" s="1521"/>
      <c r="F13" s="1521"/>
      <c r="G13" s="1522"/>
      <c r="H13" s="1528" t="s">
        <v>1037</v>
      </c>
      <c r="I13" s="1529"/>
      <c r="J13" s="1533">
        <f>+'2. Plan de Trabajo (Ext)'!K16</f>
        <v>50</v>
      </c>
      <c r="K13" s="1534"/>
      <c r="L13" s="1535"/>
    </row>
    <row r="14" spans="1:14" ht="42.75" customHeight="1" thickBot="1" x14ac:dyDescent="0.4">
      <c r="B14" s="1528" t="s">
        <v>1038</v>
      </c>
      <c r="C14" s="1529"/>
      <c r="D14" s="1536">
        <f>+'2. Plan de Trabajo (Ext)'!D13:H13</f>
        <v>44221</v>
      </c>
      <c r="E14" s="1522"/>
      <c r="F14" s="1537">
        <f>+'2. Plan de Trabajo (Ext)'!K13</f>
        <v>44281</v>
      </c>
      <c r="G14" s="1522"/>
      <c r="H14" s="1528" t="s">
        <v>1039</v>
      </c>
      <c r="I14" s="1529"/>
      <c r="J14" s="1538" t="s">
        <v>1092</v>
      </c>
      <c r="K14" s="1539"/>
      <c r="L14" s="1540"/>
    </row>
    <row r="15" spans="1:14" ht="58.5" customHeight="1" thickBot="1" x14ac:dyDescent="0.4">
      <c r="B15" s="1523" t="s">
        <v>1041</v>
      </c>
      <c r="C15" s="1524"/>
      <c r="D15" s="1525">
        <v>40</v>
      </c>
      <c r="E15" s="1526"/>
      <c r="F15" s="1526"/>
      <c r="G15" s="1527"/>
      <c r="H15" s="1528" t="s">
        <v>1042</v>
      </c>
      <c r="I15" s="1529"/>
      <c r="J15" s="1530">
        <f>+D15/J13</f>
        <v>0.8</v>
      </c>
      <c r="K15" s="1531"/>
      <c r="L15" s="1532"/>
      <c r="M15" s="191"/>
      <c r="N15" s="218"/>
    </row>
    <row r="16" spans="1:14" ht="34.5" customHeight="1" thickBot="1" x14ac:dyDescent="0.4">
      <c r="D16" s="216"/>
    </row>
    <row r="17" spans="2:12" ht="34.5" customHeight="1" thickBot="1" x14ac:dyDescent="0.4">
      <c r="B17" s="1170" t="s">
        <v>1043</v>
      </c>
      <c r="C17" s="1132"/>
      <c r="D17" s="1132"/>
      <c r="E17" s="1132"/>
      <c r="F17" s="1132"/>
      <c r="G17" s="1132"/>
      <c r="H17" s="1132"/>
      <c r="I17" s="1132"/>
      <c r="J17" s="1132"/>
      <c r="K17" s="1132"/>
      <c r="L17" s="1133"/>
    </row>
    <row r="18" spans="2:12" ht="48.75" customHeight="1" thickBot="1" x14ac:dyDescent="0.4">
      <c r="B18" s="1458" t="s">
        <v>1044</v>
      </c>
      <c r="C18" s="1459"/>
      <c r="D18" s="1459"/>
      <c r="E18" s="1459"/>
      <c r="F18" s="1459"/>
      <c r="G18" s="1459"/>
      <c r="H18" s="1459"/>
      <c r="I18" s="1459"/>
      <c r="J18" s="1459"/>
      <c r="K18" s="1459"/>
      <c r="L18" s="1460"/>
    </row>
    <row r="19" spans="2:12" ht="78" customHeight="1" thickBot="1" x14ac:dyDescent="0.4">
      <c r="B19" s="147" t="s">
        <v>734</v>
      </c>
      <c r="C19" s="148" t="s">
        <v>1045</v>
      </c>
      <c r="D19" s="148" t="s">
        <v>1093</v>
      </c>
      <c r="E19" s="148" t="s">
        <v>1047</v>
      </c>
      <c r="F19" s="813" t="s">
        <v>1048</v>
      </c>
      <c r="G19" s="148" t="s">
        <v>1049</v>
      </c>
      <c r="H19" s="813" t="s">
        <v>1050</v>
      </c>
      <c r="I19" s="1513" t="s">
        <v>1051</v>
      </c>
      <c r="J19" s="1514"/>
      <c r="K19" s="1514"/>
      <c r="L19" s="1515"/>
    </row>
    <row r="20" spans="2:12" ht="141" customHeight="1" x14ac:dyDescent="0.35">
      <c r="B20" s="186">
        <v>1</v>
      </c>
      <c r="C20" s="899" t="str">
        <f>VLOOKUP($D$13,Indicadores!$A$6:$M$14,2,FALSE)</f>
        <v>Reducción de tiempo de no valor agregado (TNVA)</v>
      </c>
      <c r="D20" s="205" t="str">
        <f>+'2. Plan de Trabajo (Ext)'!H113</f>
        <v>45 Minutos Tiempo medio de llamadas soporte (call center)
45 Minutos *</v>
      </c>
      <c r="E20" s="164" t="s">
        <v>1052</v>
      </c>
      <c r="F20" s="150" t="s">
        <v>1053</v>
      </c>
      <c r="G20" s="814" t="s">
        <v>1094</v>
      </c>
      <c r="H20" s="211" t="s">
        <v>1055</v>
      </c>
      <c r="I20" s="1516" t="s">
        <v>1057</v>
      </c>
      <c r="J20" s="1516"/>
      <c r="K20" s="1516"/>
      <c r="L20" s="1517"/>
    </row>
    <row r="21" spans="2:12" ht="153" customHeight="1" x14ac:dyDescent="0.35">
      <c r="B21" s="188">
        <v>2</v>
      </c>
      <c r="C21" s="189" t="str">
        <f>+'2. Plan de Trabajo (Ext)'!C114</f>
        <v>Ahorros generados por reducción de desperdicios (AD)</v>
      </c>
      <c r="D21" s="206" t="str">
        <f>+'2. Plan de Trabajo (Ext)'!H114</f>
        <v>8 Horas coordinador (8*23900)+ 3 agentes x 8 Horas X costo unitario del valor hora (8700)</v>
      </c>
      <c r="E21" s="164" t="s">
        <v>1052</v>
      </c>
      <c r="F21" s="149" t="s">
        <v>1053</v>
      </c>
      <c r="G21" s="173" t="str">
        <f>+D21</f>
        <v>8 Horas coordinador (8*23900)+ 3 agentes x 8 Horas X costo unitario del valor hora (8700)</v>
      </c>
      <c r="H21" s="212">
        <v>400000</v>
      </c>
      <c r="I21" s="1501" t="s">
        <v>1057</v>
      </c>
      <c r="J21" s="1501"/>
      <c r="K21" s="1501"/>
      <c r="L21" s="1502"/>
    </row>
    <row r="22" spans="2:12" ht="156" customHeight="1" x14ac:dyDescent="0.35">
      <c r="B22" s="188">
        <v>3</v>
      </c>
      <c r="C22" s="189">
        <f>+'2. Plan de Trabajo (Ext)'!C115</f>
        <v>0</v>
      </c>
      <c r="D22" s="207" t="str">
        <f>+'2. Plan de Trabajo (Ext)'!H115</f>
        <v>Venta: 5 días
Soporte: 2 días
y Logística: 1 días</v>
      </c>
      <c r="E22" s="164" t="s">
        <v>1052</v>
      </c>
      <c r="F22" s="149" t="s">
        <v>1053</v>
      </c>
      <c r="G22" s="173" t="s">
        <v>1058</v>
      </c>
      <c r="H22" s="213">
        <v>8</v>
      </c>
      <c r="I22" s="1508" t="s">
        <v>1059</v>
      </c>
      <c r="J22" s="1509"/>
      <c r="K22" s="1509"/>
      <c r="L22" s="1510"/>
    </row>
    <row r="23" spans="2:12" ht="141" customHeight="1" x14ac:dyDescent="0.35">
      <c r="B23" s="188">
        <v>4</v>
      </c>
      <c r="C23" s="195" t="str">
        <f>+'2. Plan de Trabajo (Ext)'!C116</f>
        <v>Tasa de Ventas</v>
      </c>
      <c r="D23" s="900" t="str">
        <f>+'2. Plan de Trabajo (Ext)'!H116</f>
        <v>Clientes potenciales : 50
Ventas: $1,000,000
= 0,005%</v>
      </c>
      <c r="E23" s="164" t="s">
        <v>1052</v>
      </c>
      <c r="F23" s="149"/>
      <c r="G23" s="135"/>
      <c r="H23" s="135"/>
      <c r="I23" s="1387"/>
      <c r="J23" s="1388"/>
      <c r="K23" s="1388"/>
      <c r="L23" s="1389"/>
    </row>
    <row r="24" spans="2:12" ht="141" customHeight="1" thickBot="1" x14ac:dyDescent="0.4">
      <c r="B24" s="190">
        <v>5</v>
      </c>
      <c r="C24" s="196">
        <f>+'2. Plan de Trabajo (Ext)'!C117</f>
        <v>0</v>
      </c>
      <c r="D24" s="156">
        <f>+'2. Plan de Trabajo (Ext)'!H117</f>
        <v>0</v>
      </c>
      <c r="E24" s="209" t="s">
        <v>1052</v>
      </c>
      <c r="F24" s="151"/>
      <c r="G24" s="141"/>
      <c r="H24" s="141"/>
      <c r="I24" s="1410"/>
      <c r="J24" s="1511"/>
      <c r="K24" s="1511"/>
      <c r="L24" s="1512"/>
    </row>
    <row r="25" spans="2:12" ht="34.5" customHeight="1" x14ac:dyDescent="0.35">
      <c r="D25" s="32"/>
    </row>
    <row r="26" spans="2:12" ht="34.5" customHeight="1" thickBot="1" x14ac:dyDescent="0.4">
      <c r="D26" s="32"/>
    </row>
    <row r="27" spans="2:12" ht="45" customHeight="1" thickBot="1" x14ac:dyDescent="0.4">
      <c r="B27" s="1170" t="s">
        <v>1060</v>
      </c>
      <c r="C27" s="1132"/>
      <c r="D27" s="1132"/>
      <c r="E27" s="1132"/>
      <c r="F27" s="1132"/>
      <c r="G27" s="1132"/>
      <c r="H27" s="1132"/>
      <c r="I27" s="1132"/>
      <c r="J27" s="1132"/>
      <c r="K27" s="1132"/>
      <c r="L27" s="1133"/>
    </row>
    <row r="28" spans="2:12" ht="67.5" customHeight="1" thickBot="1" x14ac:dyDescent="0.4">
      <c r="B28" s="1493" t="s">
        <v>1061</v>
      </c>
      <c r="C28" s="1494"/>
      <c r="D28" s="1494"/>
      <c r="E28" s="1494"/>
      <c r="F28" s="1494"/>
      <c r="G28" s="1494"/>
      <c r="H28" s="1494"/>
      <c r="I28" s="1494"/>
      <c r="J28" s="1494"/>
      <c r="K28" s="1494"/>
      <c r="L28" s="1495"/>
    </row>
    <row r="29" spans="2:12" ht="92.25" customHeight="1" thickBot="1" x14ac:dyDescent="0.4">
      <c r="B29" s="137" t="s">
        <v>1095</v>
      </c>
      <c r="C29" s="815" t="s">
        <v>1063</v>
      </c>
      <c r="D29" s="815" t="s">
        <v>1064</v>
      </c>
      <c r="E29" s="1476" t="s">
        <v>1050</v>
      </c>
      <c r="F29" s="1476"/>
      <c r="G29" s="1476"/>
      <c r="H29" s="1476" t="s">
        <v>1065</v>
      </c>
      <c r="I29" s="1476"/>
      <c r="J29" s="1476"/>
      <c r="K29" s="1476"/>
      <c r="L29" s="1477"/>
    </row>
    <row r="30" spans="2:12" ht="28.5" customHeight="1" x14ac:dyDescent="0.35">
      <c r="B30" s="138">
        <v>44013</v>
      </c>
      <c r="C30" s="214" t="s">
        <v>1066</v>
      </c>
      <c r="D30" s="136">
        <v>8</v>
      </c>
      <c r="E30" s="1491" t="s">
        <v>1067</v>
      </c>
      <c r="F30" s="1491"/>
      <c r="G30" s="1491"/>
      <c r="H30" s="1491"/>
      <c r="I30" s="1491"/>
      <c r="J30" s="1491"/>
      <c r="K30" s="1491"/>
      <c r="L30" s="1492"/>
    </row>
    <row r="31" spans="2:12" ht="28.5" customHeight="1" x14ac:dyDescent="0.35">
      <c r="B31" s="139">
        <v>44017</v>
      </c>
      <c r="C31" s="135"/>
      <c r="D31" s="134">
        <v>9</v>
      </c>
      <c r="E31" s="1421"/>
      <c r="F31" s="1421"/>
      <c r="G31" s="1421"/>
      <c r="H31" s="1387"/>
      <c r="I31" s="1388"/>
      <c r="J31" s="1388"/>
      <c r="K31" s="1388"/>
      <c r="L31" s="1389"/>
    </row>
    <row r="32" spans="2:12" ht="28.5" customHeight="1" x14ac:dyDescent="0.35">
      <c r="B32" s="139">
        <v>44019</v>
      </c>
      <c r="C32" s="135"/>
      <c r="D32" s="134">
        <v>1</v>
      </c>
      <c r="E32" s="1421"/>
      <c r="F32" s="1421"/>
      <c r="G32" s="1421"/>
      <c r="H32" s="1387"/>
      <c r="I32" s="1388"/>
      <c r="J32" s="1388"/>
      <c r="K32" s="1388"/>
      <c r="L32" s="1389"/>
    </row>
    <row r="33" spans="2:13" ht="28.5" customHeight="1" x14ac:dyDescent="0.35">
      <c r="B33" s="139">
        <v>44020</v>
      </c>
      <c r="C33" s="135"/>
      <c r="D33" s="134">
        <v>2</v>
      </c>
      <c r="E33" s="1421"/>
      <c r="F33" s="1421"/>
      <c r="G33" s="1421"/>
      <c r="H33" s="1387"/>
      <c r="I33" s="1388"/>
      <c r="J33" s="1388"/>
      <c r="K33" s="1388"/>
      <c r="L33" s="1389"/>
    </row>
    <row r="34" spans="2:13" ht="28.5" customHeight="1" x14ac:dyDescent="0.35">
      <c r="B34" s="139"/>
      <c r="C34" s="135"/>
      <c r="D34" s="135"/>
      <c r="E34" s="1421"/>
      <c r="F34" s="1421"/>
      <c r="G34" s="1421"/>
      <c r="H34" s="1387"/>
      <c r="I34" s="1388"/>
      <c r="J34" s="1388"/>
      <c r="K34" s="1388"/>
      <c r="L34" s="1389"/>
    </row>
    <row r="35" spans="2:13" ht="28.5" customHeight="1" thickBot="1" x14ac:dyDescent="0.4">
      <c r="B35" s="140"/>
      <c r="C35" s="141"/>
      <c r="D35" s="141"/>
      <c r="E35" s="1412"/>
      <c r="F35" s="1412"/>
      <c r="G35" s="1412"/>
      <c r="H35" s="1412"/>
      <c r="I35" s="1412"/>
      <c r="J35" s="1412"/>
      <c r="K35" s="1412"/>
      <c r="L35" s="1413"/>
    </row>
    <row r="36" spans="2:13" ht="27" customHeight="1" thickBot="1" x14ac:dyDescent="0.4">
      <c r="B36" s="142">
        <f>COUNTA(B30:B35)</f>
        <v>4</v>
      </c>
      <c r="C36" s="143"/>
      <c r="D36" s="144">
        <f>SUM(D30:D35)</f>
        <v>20</v>
      </c>
      <c r="E36" s="1478"/>
      <c r="F36" s="1239"/>
      <c r="G36" s="1479"/>
      <c r="H36" s="1480" t="s">
        <v>1068</v>
      </c>
      <c r="I36" s="1438"/>
      <c r="J36" s="1438"/>
      <c r="K36" s="1481"/>
      <c r="L36" s="145">
        <f>+(D36/J13)*100%</f>
        <v>0.4</v>
      </c>
      <c r="M36" s="217"/>
    </row>
    <row r="37" spans="2:13" ht="17.149999999999999" customHeight="1" thickBot="1" x14ac:dyDescent="0.4">
      <c r="B37" s="48"/>
      <c r="C37" s="3"/>
      <c r="D37" s="215"/>
      <c r="E37" s="20"/>
      <c r="F37" s="20"/>
      <c r="G37" s="20"/>
      <c r="J37" s="20"/>
      <c r="K37" s="20"/>
      <c r="L37" s="20"/>
    </row>
    <row r="38" spans="2:13" ht="45" customHeight="1" thickBot="1" x14ac:dyDescent="0.4">
      <c r="B38" s="1130" t="s">
        <v>1069</v>
      </c>
      <c r="C38" s="1131"/>
      <c r="D38" s="1132"/>
      <c r="E38" s="1132"/>
      <c r="F38" s="1132"/>
      <c r="G38" s="1132"/>
      <c r="H38" s="1132"/>
      <c r="I38" s="1132"/>
      <c r="J38" s="1132"/>
      <c r="K38" s="1132"/>
      <c r="L38" s="1133"/>
    </row>
    <row r="39" spans="2:13" ht="37.5" customHeight="1" thickBot="1" x14ac:dyDescent="0.4">
      <c r="B39" s="1390" t="s">
        <v>1070</v>
      </c>
      <c r="C39" s="1391"/>
      <c r="D39" s="1391"/>
      <c r="E39" s="1391"/>
      <c r="F39" s="1391"/>
      <c r="G39" s="1391"/>
      <c r="H39" s="1391"/>
      <c r="I39" s="1391"/>
      <c r="J39" s="1391"/>
      <c r="K39" s="1391"/>
      <c r="L39" s="1408"/>
    </row>
    <row r="40" spans="2:13" ht="179.15" customHeight="1" x14ac:dyDescent="0.35">
      <c r="B40" s="1482"/>
      <c r="C40" s="1483"/>
      <c r="D40" s="1483"/>
      <c r="E40" s="1483"/>
      <c r="F40" s="1483"/>
      <c r="G40" s="1483"/>
      <c r="H40" s="1483"/>
      <c r="I40" s="1483"/>
      <c r="J40" s="1483"/>
      <c r="K40" s="1483"/>
      <c r="L40" s="1484"/>
    </row>
    <row r="41" spans="2:13" ht="209.15" customHeight="1" thickBot="1" x14ac:dyDescent="0.4">
      <c r="B41" s="1485"/>
      <c r="C41" s="1486"/>
      <c r="D41" s="1486"/>
      <c r="E41" s="1486"/>
      <c r="F41" s="1486"/>
      <c r="G41" s="1486"/>
      <c r="H41" s="1486"/>
      <c r="I41" s="1486"/>
      <c r="J41" s="1486"/>
      <c r="K41" s="1486"/>
      <c r="L41" s="1487"/>
    </row>
    <row r="42" spans="2:13" ht="17.149999999999999" customHeight="1" x14ac:dyDescent="0.35">
      <c r="B42" s="42"/>
      <c r="C42" s="9"/>
      <c r="D42" s="29"/>
      <c r="E42" s="29"/>
      <c r="F42" s="29"/>
      <c r="G42" s="29"/>
      <c r="H42" s="29"/>
      <c r="I42" s="29"/>
      <c r="J42" s="9"/>
      <c r="K42" s="43"/>
      <c r="L42" s="43"/>
    </row>
    <row r="43" spans="2:13" ht="30.75" customHeight="1" thickBot="1" x14ac:dyDescent="0.4">
      <c r="B43" s="1195" t="s">
        <v>1071</v>
      </c>
      <c r="C43" s="1196"/>
      <c r="D43" s="1196"/>
      <c r="E43" s="1196"/>
      <c r="F43" s="1196"/>
      <c r="G43" s="1196"/>
      <c r="H43" s="1196"/>
      <c r="I43" s="1196"/>
      <c r="J43" s="1196"/>
      <c r="K43" s="1196"/>
      <c r="L43" s="1196"/>
    </row>
    <row r="44" spans="2:13" ht="23.15" customHeight="1" x14ac:dyDescent="0.35">
      <c r="B44" s="21"/>
      <c r="C44" s="22"/>
      <c r="D44" s="23"/>
      <c r="E44" s="21"/>
      <c r="F44" s="22"/>
      <c r="G44" s="22"/>
      <c r="H44" s="23"/>
      <c r="I44" s="21"/>
      <c r="J44" s="22"/>
      <c r="K44" s="22"/>
      <c r="L44" s="23"/>
    </row>
    <row r="45" spans="2:13" ht="23.15" customHeight="1" x14ac:dyDescent="0.35">
      <c r="B45" s="24"/>
      <c r="D45" s="25"/>
      <c r="E45" s="24"/>
      <c r="H45" s="25"/>
      <c r="I45" s="24"/>
      <c r="L45" s="25"/>
    </row>
    <row r="46" spans="2:13" ht="23.15" customHeight="1" x14ac:dyDescent="0.35">
      <c r="B46" s="24"/>
      <c r="D46" s="25"/>
      <c r="E46" s="24"/>
      <c r="H46" s="25"/>
      <c r="I46" s="24"/>
      <c r="L46" s="25"/>
    </row>
    <row r="47" spans="2:13" ht="23.15" customHeight="1" thickBot="1" x14ac:dyDescent="0.4">
      <c r="B47" s="26"/>
      <c r="C47" s="27"/>
      <c r="D47" s="28"/>
      <c r="E47" s="26"/>
      <c r="F47" s="27"/>
      <c r="G47" s="27"/>
      <c r="H47" s="28"/>
      <c r="I47" s="24"/>
      <c r="L47" s="25"/>
    </row>
    <row r="48" spans="2:13" ht="25.5" customHeight="1" thickBot="1" x14ac:dyDescent="0.4">
      <c r="B48" s="157" t="s">
        <v>910</v>
      </c>
      <c r="C48" s="152" t="str">
        <f>+'2. Plan de Trabajo (Ext)'!D14</f>
        <v>YZ</v>
      </c>
      <c r="D48" s="158"/>
      <c r="E48" s="12" t="s">
        <v>910</v>
      </c>
      <c r="F48" s="159" t="str">
        <f>+'2. Plan de Trabajo (Ext)'!D15</f>
        <v>AB</v>
      </c>
      <c r="G48" s="129"/>
      <c r="H48" s="130"/>
      <c r="I48" s="12" t="s">
        <v>910</v>
      </c>
      <c r="J48" s="1435" t="str">
        <f>+'1. V.Inicial- DX (Gestor)'!I75</f>
        <v>ACB</v>
      </c>
      <c r="K48" s="1435"/>
      <c r="L48" s="1436"/>
    </row>
    <row r="49" spans="2:13" ht="34" customHeight="1" x14ac:dyDescent="0.35">
      <c r="B49" s="1349" t="s">
        <v>1027</v>
      </c>
      <c r="C49" s="1350"/>
      <c r="D49" s="1541"/>
      <c r="E49" s="1349" t="s">
        <v>1028</v>
      </c>
      <c r="F49" s="1350"/>
      <c r="G49" s="1350"/>
      <c r="H49" s="1541"/>
      <c r="I49" s="1542" t="s">
        <v>1072</v>
      </c>
      <c r="J49" s="1543"/>
      <c r="K49" s="1543"/>
      <c r="L49" s="1544"/>
    </row>
    <row r="50" spans="2:13" ht="19.5" customHeight="1" x14ac:dyDescent="0.35">
      <c r="B50" s="1545" t="s">
        <v>1073</v>
      </c>
      <c r="C50" s="1546"/>
      <c r="D50" s="1546"/>
      <c r="E50" s="1546"/>
      <c r="F50" s="1546"/>
      <c r="G50" s="1546"/>
      <c r="H50" s="1546"/>
      <c r="I50" s="1546"/>
      <c r="J50" s="1546"/>
      <c r="K50" s="1546"/>
      <c r="L50" s="1547"/>
    </row>
    <row r="51" spans="2:13" ht="19.5" customHeight="1" x14ac:dyDescent="0.35">
      <c r="B51" s="809"/>
      <c r="C51" s="809"/>
      <c r="D51" s="809"/>
      <c r="E51" s="809"/>
      <c r="F51" s="809"/>
      <c r="G51" s="809"/>
      <c r="H51" s="809"/>
      <c r="I51" s="809"/>
      <c r="J51" s="809"/>
      <c r="K51" s="809"/>
      <c r="L51" s="809"/>
    </row>
    <row r="52" spans="2:13" ht="19.5" customHeight="1" x14ac:dyDescent="0.35">
      <c r="B52" s="809"/>
      <c r="C52" s="809"/>
      <c r="D52" s="809"/>
      <c r="E52" s="809"/>
      <c r="F52" s="809"/>
      <c r="G52" s="809"/>
      <c r="H52" s="809"/>
      <c r="I52" s="809"/>
      <c r="J52" s="809"/>
      <c r="K52" s="809"/>
      <c r="L52" s="809"/>
    </row>
    <row r="53" spans="2:13" ht="19.5" customHeight="1" x14ac:dyDescent="0.35">
      <c r="B53" s="809"/>
      <c r="C53" s="809"/>
      <c r="D53" s="809"/>
      <c r="E53" s="809"/>
      <c r="F53" s="809"/>
      <c r="G53" s="809"/>
      <c r="H53" s="809"/>
      <c r="I53" s="809"/>
      <c r="J53" s="809"/>
      <c r="K53" s="809"/>
      <c r="L53" s="809"/>
    </row>
    <row r="54" spans="2:13" ht="19.5" customHeight="1" x14ac:dyDescent="0.35">
      <c r="B54" s="809"/>
      <c r="C54" s="809"/>
      <c r="D54" s="809"/>
      <c r="E54" s="809"/>
      <c r="F54" s="809"/>
      <c r="G54" s="809"/>
      <c r="H54" s="809"/>
      <c r="I54" s="809"/>
      <c r="J54" s="809"/>
      <c r="K54" s="809"/>
      <c r="L54" s="809"/>
    </row>
    <row r="55" spans="2:13" ht="21.5" thickBot="1" x14ac:dyDescent="0.4">
      <c r="B55" s="9" t="s">
        <v>1074</v>
      </c>
    </row>
    <row r="56" spans="2:13" ht="52" customHeight="1" thickBot="1" x14ac:dyDescent="0.4">
      <c r="B56" s="1170" t="s">
        <v>1075</v>
      </c>
      <c r="C56" s="1132"/>
      <c r="D56" s="1132"/>
      <c r="E56" s="1132"/>
      <c r="F56" s="1132"/>
      <c r="G56" s="1132"/>
      <c r="H56" s="1132"/>
      <c r="I56" s="1132"/>
      <c r="J56" s="1132"/>
      <c r="K56" s="1132"/>
      <c r="L56" s="1133"/>
    </row>
    <row r="57" spans="2:13" ht="28.5" customHeight="1" thickBot="1" x14ac:dyDescent="0.4">
      <c r="B57" s="1128" t="s">
        <v>1076</v>
      </c>
      <c r="C57" s="1457"/>
      <c r="D57" s="1457"/>
      <c r="E57" s="1457"/>
      <c r="F57" s="1457"/>
      <c r="G57" s="1129"/>
      <c r="H57" s="1454">
        <f>+'1. V.Inicial- DX (Gestor)'!C71</f>
        <v>0</v>
      </c>
      <c r="I57" s="1455"/>
      <c r="J57" s="1455"/>
      <c r="K57" s="1455"/>
      <c r="L57" s="1456"/>
      <c r="M57" s="246"/>
    </row>
    <row r="58" spans="2:13" ht="24" customHeight="1" thickBot="1" x14ac:dyDescent="0.4">
      <c r="B58" s="1465"/>
      <c r="C58" s="1466"/>
      <c r="D58" s="1466"/>
      <c r="E58" s="1466"/>
      <c r="F58" s="1466"/>
      <c r="G58" s="1466"/>
      <c r="H58" s="1466"/>
      <c r="I58" s="1466"/>
      <c r="J58" s="1466"/>
      <c r="K58" s="1466"/>
      <c r="L58" s="1467"/>
    </row>
    <row r="59" spans="2:13" ht="30.75" customHeight="1" thickBot="1" x14ac:dyDescent="0.4">
      <c r="B59" s="1195" t="s">
        <v>1077</v>
      </c>
      <c r="C59" s="1196"/>
      <c r="D59" s="1196"/>
      <c r="E59" s="1196"/>
      <c r="F59" s="1196"/>
      <c r="G59" s="1196"/>
      <c r="H59" s="1196"/>
      <c r="I59" s="1196"/>
      <c r="J59" s="1196"/>
      <c r="K59" s="1196"/>
      <c r="L59" s="1196"/>
    </row>
    <row r="60" spans="2:13" ht="54" customHeight="1" thickBot="1" x14ac:dyDescent="0.4">
      <c r="B60" s="1458" t="s">
        <v>1078</v>
      </c>
      <c r="C60" s="1459"/>
      <c r="D60" s="1459"/>
      <c r="E60" s="1459"/>
      <c r="F60" s="1459"/>
      <c r="G60" s="1459"/>
      <c r="H60" s="1459"/>
      <c r="I60" s="1459"/>
      <c r="J60" s="1459"/>
      <c r="K60" s="1459"/>
      <c r="L60" s="1460"/>
    </row>
    <row r="61" spans="2:13" ht="29.15" customHeight="1" x14ac:dyDescent="0.35">
      <c r="B61" s="21"/>
      <c r="C61" s="22"/>
      <c r="D61" s="22"/>
      <c r="E61" s="22"/>
      <c r="F61" s="22"/>
      <c r="G61" s="22"/>
      <c r="H61" s="22"/>
      <c r="I61" s="22"/>
      <c r="J61" s="22"/>
      <c r="K61" s="22"/>
      <c r="L61" s="23"/>
    </row>
    <row r="62" spans="2:13" ht="49.5" customHeight="1" x14ac:dyDescent="0.35">
      <c r="B62" s="24"/>
      <c r="L62" s="25"/>
    </row>
    <row r="63" spans="2:13" ht="49.5" customHeight="1" x14ac:dyDescent="0.35">
      <c r="B63" s="24"/>
      <c r="L63" s="25"/>
    </row>
    <row r="64" spans="2:13" ht="49.5" customHeight="1" thickBot="1" x14ac:dyDescent="0.4">
      <c r="B64" s="26"/>
      <c r="C64" s="27"/>
      <c r="D64" s="27"/>
      <c r="E64" s="27"/>
      <c r="F64" s="27"/>
      <c r="G64" s="27"/>
      <c r="H64" s="27"/>
      <c r="I64" s="27"/>
      <c r="J64" s="27"/>
      <c r="K64" s="27"/>
      <c r="L64" s="28"/>
    </row>
    <row r="65" spans="2:12" ht="30.65" customHeight="1" x14ac:dyDescent="0.35"/>
    <row r="66" spans="2:12" ht="26" x14ac:dyDescent="0.35">
      <c r="B66" s="1195" t="s">
        <v>1079</v>
      </c>
      <c r="C66" s="1196"/>
      <c r="D66" s="1196"/>
      <c r="E66" s="1196"/>
      <c r="F66" s="1196"/>
      <c r="G66" s="1196"/>
      <c r="H66" s="1196"/>
      <c r="I66" s="1196"/>
      <c r="J66" s="1196"/>
      <c r="K66" s="1196"/>
      <c r="L66" s="1196"/>
    </row>
    <row r="67" spans="2:12" ht="21.5" thickBot="1" x14ac:dyDescent="0.4">
      <c r="B67" s="1458" t="s">
        <v>1080</v>
      </c>
      <c r="C67" s="1459"/>
      <c r="D67" s="1459"/>
      <c r="E67" s="1459"/>
      <c r="F67" s="1459"/>
      <c r="G67" s="1459"/>
      <c r="H67" s="1459"/>
      <c r="I67" s="1459"/>
      <c r="J67" s="1459"/>
      <c r="K67" s="1459"/>
      <c r="L67" s="1460"/>
    </row>
    <row r="68" spans="2:12" ht="21.5" thickBot="1" x14ac:dyDescent="0.4">
      <c r="B68" s="1468" t="s">
        <v>1081</v>
      </c>
      <c r="C68" s="1341"/>
      <c r="D68" s="1469"/>
      <c r="E68" s="180" t="s">
        <v>1082</v>
      </c>
      <c r="F68" s="181" t="s">
        <v>887</v>
      </c>
      <c r="H68" s="1468" t="s">
        <v>1083</v>
      </c>
      <c r="I68" s="1341"/>
      <c r="J68" s="1469"/>
      <c r="K68" s="180" t="s">
        <v>1082</v>
      </c>
      <c r="L68" s="181" t="s">
        <v>887</v>
      </c>
    </row>
    <row r="69" spans="2:12" ht="21.5" thickBot="1" x14ac:dyDescent="0.4">
      <c r="B69" s="1462" t="s">
        <v>1084</v>
      </c>
      <c r="C69" s="1462"/>
      <c r="D69" s="1462"/>
      <c r="E69" s="182"/>
      <c r="F69" s="182"/>
      <c r="H69" s="1462" t="str">
        <f>+B69</f>
        <v>¿Ha dado cumplimiento al Cronograma?</v>
      </c>
      <c r="I69" s="1462"/>
      <c r="J69" s="1462"/>
      <c r="K69" s="182"/>
      <c r="L69" s="182"/>
    </row>
    <row r="70" spans="2:12" ht="58.5" customHeight="1" thickBot="1" x14ac:dyDescent="0.4">
      <c r="B70" s="1470" t="s">
        <v>1085</v>
      </c>
      <c r="C70" s="1471"/>
      <c r="D70" s="1472"/>
      <c r="E70" s="182"/>
      <c r="F70" s="182"/>
      <c r="H70" s="1461" t="s">
        <v>1086</v>
      </c>
      <c r="I70" s="1461"/>
      <c r="J70" s="1461"/>
      <c r="K70" s="182"/>
      <c r="L70" s="182"/>
    </row>
    <row r="71" spans="2:12" ht="39.65" customHeight="1" thickBot="1" x14ac:dyDescent="0.4">
      <c r="B71" s="1461" t="s">
        <v>1087</v>
      </c>
      <c r="C71" s="1461"/>
      <c r="D71" s="1461"/>
      <c r="E71" s="182"/>
      <c r="F71" s="182"/>
      <c r="H71" s="1463"/>
      <c r="I71" s="1463"/>
      <c r="J71" s="1463"/>
      <c r="K71" s="182"/>
      <c r="L71" s="182"/>
    </row>
    <row r="72" spans="2:12" ht="21.5" thickBot="1" x14ac:dyDescent="0.4">
      <c r="B72" s="1462" t="s">
        <v>1088</v>
      </c>
      <c r="C72" s="1462"/>
      <c r="D72" s="1462"/>
      <c r="E72" s="182"/>
      <c r="F72" s="182"/>
      <c r="H72" s="1464"/>
      <c r="I72" s="1464"/>
      <c r="J72" s="1464"/>
      <c r="K72" s="182"/>
      <c r="L72" s="182"/>
    </row>
    <row r="73" spans="2:12" ht="21.5" thickBot="1" x14ac:dyDescent="0.4">
      <c r="B73" s="1462" t="s">
        <v>1089</v>
      </c>
      <c r="C73" s="1462"/>
      <c r="D73" s="1462"/>
      <c r="E73" s="182"/>
      <c r="F73" s="182"/>
      <c r="H73" s="1464"/>
      <c r="I73" s="1464"/>
      <c r="J73" s="1464"/>
      <c r="K73" s="182"/>
      <c r="L73" s="182"/>
    </row>
    <row r="74" spans="2:12" ht="21.5" thickBot="1" x14ac:dyDescent="0.4">
      <c r="B74" s="1464"/>
      <c r="C74" s="1464"/>
      <c r="D74" s="1464"/>
      <c r="E74" s="182"/>
      <c r="F74" s="182"/>
      <c r="H74" s="1464"/>
      <c r="I74" s="1464"/>
      <c r="J74" s="1464"/>
      <c r="K74" s="182"/>
      <c r="L74" s="182"/>
    </row>
    <row r="76" spans="2:12" ht="26" x14ac:dyDescent="0.35">
      <c r="B76" s="1195" t="s">
        <v>1090</v>
      </c>
      <c r="C76" s="1196"/>
      <c r="D76" s="1196"/>
      <c r="E76" s="1196"/>
      <c r="F76" s="1196"/>
      <c r="G76" s="1196"/>
      <c r="H76" s="1196"/>
      <c r="I76" s="1196"/>
      <c r="J76" s="1196"/>
      <c r="K76" s="1196"/>
      <c r="L76" s="1196"/>
    </row>
    <row r="77" spans="2:12" ht="22.5" customHeight="1" thickBot="1" x14ac:dyDescent="0.4">
      <c r="B77" s="1458" t="s">
        <v>1091</v>
      </c>
      <c r="C77" s="1459"/>
      <c r="D77" s="1459"/>
      <c r="E77" s="1459"/>
      <c r="F77" s="1459"/>
      <c r="G77" s="1459"/>
      <c r="H77" s="1459"/>
      <c r="I77" s="1459"/>
      <c r="J77" s="1459"/>
      <c r="K77" s="1459"/>
      <c r="L77" s="1460"/>
    </row>
    <row r="78" spans="2:12" ht="34" customHeight="1" x14ac:dyDescent="0.35">
      <c r="B78" s="21"/>
      <c r="C78" s="22"/>
      <c r="D78" s="22"/>
      <c r="E78" s="22"/>
      <c r="F78" s="22"/>
      <c r="G78" s="22"/>
      <c r="H78" s="22"/>
      <c r="I78" s="22"/>
      <c r="J78" s="22"/>
      <c r="K78" s="22"/>
      <c r="L78" s="23"/>
    </row>
    <row r="79" spans="2:12" ht="34" customHeight="1" x14ac:dyDescent="0.35">
      <c r="B79" s="24"/>
      <c r="L79" s="25"/>
    </row>
    <row r="80" spans="2:12" ht="34" customHeight="1" x14ac:dyDescent="0.35">
      <c r="B80" s="24"/>
      <c r="L80" s="25"/>
    </row>
    <row r="81" spans="2:12" ht="34" customHeight="1" thickBot="1" x14ac:dyDescent="0.4">
      <c r="B81" s="26"/>
      <c r="C81" s="27"/>
      <c r="D81" s="27"/>
      <c r="E81" s="27"/>
      <c r="F81" s="27"/>
      <c r="G81" s="27"/>
      <c r="H81" s="27"/>
      <c r="I81" s="27"/>
      <c r="J81" s="27"/>
      <c r="K81" s="27"/>
      <c r="L81" s="28"/>
    </row>
  </sheetData>
  <mergeCells count="82">
    <mergeCell ref="B74:D74"/>
    <mergeCell ref="H74:J74"/>
    <mergeCell ref="B76:L76"/>
    <mergeCell ref="B77:L77"/>
    <mergeCell ref="B71:D71"/>
    <mergeCell ref="H71:J71"/>
    <mergeCell ref="B72:D72"/>
    <mergeCell ref="H72:J72"/>
    <mergeCell ref="B73:D73"/>
    <mergeCell ref="H73:J73"/>
    <mergeCell ref="B70:D70"/>
    <mergeCell ref="H70:J70"/>
    <mergeCell ref="B57:G57"/>
    <mergeCell ref="H57:L57"/>
    <mergeCell ref="B58:L58"/>
    <mergeCell ref="B59:L59"/>
    <mergeCell ref="B60:L60"/>
    <mergeCell ref="B66:L66"/>
    <mergeCell ref="B67:L67"/>
    <mergeCell ref="B68:D68"/>
    <mergeCell ref="H68:J68"/>
    <mergeCell ref="B69:D69"/>
    <mergeCell ref="H69:J69"/>
    <mergeCell ref="B56:L56"/>
    <mergeCell ref="E36:G36"/>
    <mergeCell ref="H36:K36"/>
    <mergeCell ref="B38:L38"/>
    <mergeCell ref="B39:L39"/>
    <mergeCell ref="B40:L41"/>
    <mergeCell ref="B43:L43"/>
    <mergeCell ref="J48:L48"/>
    <mergeCell ref="B49:D49"/>
    <mergeCell ref="E49:H49"/>
    <mergeCell ref="I49:L49"/>
    <mergeCell ref="B50:L50"/>
    <mergeCell ref="E33:G33"/>
    <mergeCell ref="H33:L33"/>
    <mergeCell ref="E34:G34"/>
    <mergeCell ref="H34:L34"/>
    <mergeCell ref="E35:G35"/>
    <mergeCell ref="H35:L35"/>
    <mergeCell ref="E30:G30"/>
    <mergeCell ref="H30:L30"/>
    <mergeCell ref="E31:G31"/>
    <mergeCell ref="H31:L31"/>
    <mergeCell ref="E32:G32"/>
    <mergeCell ref="H32:L32"/>
    <mergeCell ref="I23:L23"/>
    <mergeCell ref="I24:L24"/>
    <mergeCell ref="B27:L27"/>
    <mergeCell ref="B28:L28"/>
    <mergeCell ref="E29:G29"/>
    <mergeCell ref="H29:L29"/>
    <mergeCell ref="I22:L22"/>
    <mergeCell ref="B14:C14"/>
    <mergeCell ref="D14:E14"/>
    <mergeCell ref="F14:G14"/>
    <mergeCell ref="H14:I14"/>
    <mergeCell ref="J14:L14"/>
    <mergeCell ref="B15:C15"/>
    <mergeCell ref="D15:G15"/>
    <mergeCell ref="H15:I15"/>
    <mergeCell ref="J15:L15"/>
    <mergeCell ref="B17:L17"/>
    <mergeCell ref="B18:L18"/>
    <mergeCell ref="I19:L19"/>
    <mergeCell ref="I20:L20"/>
    <mergeCell ref="I21:L21"/>
    <mergeCell ref="B12:C12"/>
    <mergeCell ref="D12:G12"/>
    <mergeCell ref="H12:I12"/>
    <mergeCell ref="J12:L12"/>
    <mergeCell ref="B13:C13"/>
    <mergeCell ref="D13:G13"/>
    <mergeCell ref="H13:I13"/>
    <mergeCell ref="J13:L13"/>
    <mergeCell ref="B11:L11"/>
    <mergeCell ref="A1:L1"/>
    <mergeCell ref="B7:L7"/>
    <mergeCell ref="B9:C9"/>
    <mergeCell ref="K9:L9"/>
    <mergeCell ref="B10:L10"/>
  </mergeCells>
  <conditionalFormatting sqref="M36">
    <cfRule type="containsText" dxfId="19" priority="1" operator="containsText" text="&quot;horas validar&quot;">
      <formula>NOT(ISERROR(SEARCH("""horas validar""",M36)))</formula>
    </cfRule>
    <cfRule type="containsText" dxfId="18" priority="2" operator="containsText" text="horas validar">
      <formula>NOT(ISERROR(SEARCH("horas validar",M36)))</formula>
    </cfRule>
  </conditionalFormatting>
  <printOptions horizontalCentered="1" verticalCentered="1"/>
  <pageMargins left="0.23622047244094491" right="0.23622047244094491" top="0.74803149606299213" bottom="0.74803149606299213" header="0.31496062992125984" footer="0.31496062992125984"/>
  <pageSetup scale="45" fitToHeight="0" orientation="portrait" horizontalDpi="1200" verticalDpi="1200" r:id="rId1"/>
  <headerFooter scaleWithDoc="0" alignWithMargins="0">
    <oddFooter>Página &amp;P</oddFooter>
  </headerFooter>
  <rowBreaks count="1" manualBreakCount="1">
    <brk id="25" min="1" max="11"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F3E76-D081-4A2D-8DFF-031C871C1118}">
  <sheetPr>
    <tabColor theme="4" tint="-0.249977111117893"/>
  </sheetPr>
  <dimension ref="A1:P36"/>
  <sheetViews>
    <sheetView showGridLines="0" topLeftCell="A16" zoomScale="90" zoomScaleNormal="90" zoomScaleSheetLayoutView="55" zoomScalePageLayoutView="70" workbookViewId="0">
      <selection activeCell="F5" sqref="F5"/>
    </sheetView>
  </sheetViews>
  <sheetFormatPr baseColWidth="10" defaultColWidth="1" defaultRowHeight="17" x14ac:dyDescent="0.35"/>
  <cols>
    <col min="1" max="1" width="4.7265625" style="502" customWidth="1"/>
    <col min="2" max="2" width="16.26953125" style="472" customWidth="1"/>
    <col min="3" max="4" width="30.26953125" style="472" customWidth="1"/>
    <col min="5" max="9" width="23.1796875" style="472" customWidth="1"/>
    <col min="10" max="12" width="10" style="472" customWidth="1"/>
    <col min="13" max="13" width="50.26953125" style="472" customWidth="1"/>
    <col min="14" max="16384" width="1" style="472"/>
  </cols>
  <sheetData>
    <row r="1" spans="1:13" ht="39.65" customHeight="1" x14ac:dyDescent="0.35">
      <c r="A1" s="912" t="s">
        <v>20</v>
      </c>
      <c r="B1" s="913" t="s">
        <v>21</v>
      </c>
      <c r="C1" s="914" t="s">
        <v>22</v>
      </c>
      <c r="D1" s="913" t="s">
        <v>23</v>
      </c>
      <c r="E1" s="914" t="s">
        <v>24</v>
      </c>
      <c r="F1" s="914"/>
      <c r="G1" s="914"/>
      <c r="H1" s="914"/>
      <c r="I1" s="914"/>
      <c r="J1" s="915" t="s">
        <v>25</v>
      </c>
      <c r="K1" s="915"/>
      <c r="L1" s="915"/>
      <c r="M1" s="907" t="s">
        <v>26</v>
      </c>
    </row>
    <row r="2" spans="1:13" ht="39.65" customHeight="1" x14ac:dyDescent="0.35">
      <c r="A2" s="912"/>
      <c r="B2" s="913"/>
      <c r="C2" s="914"/>
      <c r="D2" s="913"/>
      <c r="E2" s="473">
        <v>1</v>
      </c>
      <c r="F2" s="474">
        <v>2</v>
      </c>
      <c r="G2" s="475">
        <v>3</v>
      </c>
      <c r="H2" s="476">
        <v>4</v>
      </c>
      <c r="I2" s="477">
        <v>5</v>
      </c>
      <c r="J2" s="772">
        <v>2022</v>
      </c>
      <c r="K2" s="772">
        <v>2023</v>
      </c>
      <c r="L2" s="772">
        <v>2024</v>
      </c>
      <c r="M2" s="907"/>
    </row>
    <row r="3" spans="1:13" s="480" customFormat="1" ht="17.649999999999999" customHeight="1" x14ac:dyDescent="0.35">
      <c r="A3" s="908">
        <v>1</v>
      </c>
      <c r="B3" s="909" t="s">
        <v>27</v>
      </c>
      <c r="C3" s="910" t="s">
        <v>28</v>
      </c>
      <c r="D3" s="910"/>
      <c r="E3" s="478"/>
      <c r="F3" s="478"/>
      <c r="G3" s="478"/>
      <c r="H3" s="478"/>
      <c r="I3" s="478"/>
      <c r="J3" s="479"/>
      <c r="K3" s="479"/>
      <c r="L3" s="479"/>
      <c r="M3" s="911"/>
    </row>
    <row r="4" spans="1:13" s="480" customFormat="1" ht="119" x14ac:dyDescent="0.35">
      <c r="A4" s="908"/>
      <c r="B4" s="909"/>
      <c r="C4" s="910"/>
      <c r="D4" s="910"/>
      <c r="E4" s="770" t="s">
        <v>29</v>
      </c>
      <c r="F4" s="770"/>
      <c r="G4" s="770" t="s">
        <v>30</v>
      </c>
      <c r="H4" s="770"/>
      <c r="I4" s="770" t="s">
        <v>31</v>
      </c>
      <c r="J4" s="481"/>
      <c r="K4" s="481"/>
      <c r="L4" s="481"/>
      <c r="M4" s="911"/>
    </row>
    <row r="5" spans="1:13" s="480" customFormat="1" ht="17.649999999999999" customHeight="1" x14ac:dyDescent="0.35">
      <c r="A5" s="908">
        <v>2</v>
      </c>
      <c r="B5" s="909" t="s">
        <v>32</v>
      </c>
      <c r="C5" s="910" t="s">
        <v>33</v>
      </c>
      <c r="D5" s="910"/>
      <c r="E5" s="478"/>
      <c r="F5" s="478"/>
      <c r="G5" s="478"/>
      <c r="H5" s="478"/>
      <c r="I5" s="478"/>
      <c r="J5" s="479"/>
      <c r="K5" s="479"/>
      <c r="L5" s="479"/>
      <c r="M5" s="911"/>
    </row>
    <row r="6" spans="1:13" s="480" customFormat="1" ht="187.5" customHeight="1" x14ac:dyDescent="0.35">
      <c r="A6" s="908"/>
      <c r="B6" s="909"/>
      <c r="C6" s="910"/>
      <c r="D6" s="910"/>
      <c r="E6" s="770" t="s">
        <v>34</v>
      </c>
      <c r="F6" s="770" t="s">
        <v>35</v>
      </c>
      <c r="G6" s="770" t="s">
        <v>36</v>
      </c>
      <c r="H6" s="770" t="s">
        <v>37</v>
      </c>
      <c r="I6" s="770" t="s">
        <v>38</v>
      </c>
      <c r="J6" s="481"/>
      <c r="K6" s="481"/>
      <c r="L6" s="481"/>
      <c r="M6" s="911"/>
    </row>
    <row r="7" spans="1:13" s="480" customFormat="1" ht="22.5" customHeight="1" x14ac:dyDescent="0.35">
      <c r="A7" s="916">
        <v>3</v>
      </c>
      <c r="B7" s="919" t="s">
        <v>39</v>
      </c>
      <c r="C7" s="922" t="s">
        <v>40</v>
      </c>
      <c r="D7" s="482" t="s">
        <v>41</v>
      </c>
      <c r="E7" s="483">
        <v>2016</v>
      </c>
      <c r="F7" s="483">
        <f>+E7+1</f>
        <v>2017</v>
      </c>
      <c r="G7" s="483">
        <f t="shared" ref="G7:I7" si="0">+F7+1</f>
        <v>2018</v>
      </c>
      <c r="H7" s="483">
        <f t="shared" si="0"/>
        <v>2019</v>
      </c>
      <c r="I7" s="483">
        <f t="shared" si="0"/>
        <v>2020</v>
      </c>
      <c r="J7" s="481"/>
      <c r="K7" s="481"/>
      <c r="L7" s="481"/>
      <c r="M7" s="771"/>
    </row>
    <row r="8" spans="1:13" s="480" customFormat="1" ht="52.5" customHeight="1" x14ac:dyDescent="0.35">
      <c r="A8" s="917"/>
      <c r="B8" s="920"/>
      <c r="C8" s="923"/>
      <c r="D8" s="484" t="s">
        <v>42</v>
      </c>
      <c r="E8" s="485"/>
      <c r="F8" s="485"/>
      <c r="G8" s="485"/>
      <c r="H8" s="485"/>
      <c r="I8" s="485"/>
      <c r="J8" s="481"/>
      <c r="K8" s="481"/>
      <c r="L8" s="481"/>
      <c r="M8" s="771"/>
    </row>
    <row r="9" spans="1:13" s="480" customFormat="1" x14ac:dyDescent="0.35">
      <c r="A9" s="917"/>
      <c r="B9" s="920"/>
      <c r="C9" s="923"/>
      <c r="D9" s="486" t="s">
        <v>43</v>
      </c>
      <c r="E9" s="486"/>
      <c r="F9" s="487" t="str">
        <f>IF(OR(F8="",E8=""),"",(F8/E8-1))</f>
        <v/>
      </c>
      <c r="G9" s="487" t="str">
        <f>IF(OR(G8="",F8=""),"",(G8/F8-1))</f>
        <v/>
      </c>
      <c r="H9" s="487" t="str">
        <f>IF(OR(H8="",G8=""),"",(H8/G8-1))</f>
        <v/>
      </c>
      <c r="I9" s="487" t="str">
        <f>IF(OR(I8="",H8=""),"",(I8/H8-1))</f>
        <v/>
      </c>
      <c r="J9" s="481"/>
      <c r="K9" s="481"/>
      <c r="L9" s="481"/>
      <c r="M9" s="771"/>
    </row>
    <row r="10" spans="1:13" s="480" customFormat="1" ht="42" customHeight="1" x14ac:dyDescent="0.35">
      <c r="A10" s="917"/>
      <c r="B10" s="920"/>
      <c r="C10" s="923"/>
      <c r="D10" s="486" t="s">
        <v>44</v>
      </c>
      <c r="E10" s="486"/>
      <c r="F10" s="487" t="str">
        <f>IF(OR(F8="",E8=""),"",(F8/E8)-1)</f>
        <v/>
      </c>
      <c r="G10" s="487" t="str">
        <f>IF(OR(G8="",E8=""),"",((G8/E8)^(1/2))-1)</f>
        <v/>
      </c>
      <c r="H10" s="487" t="str">
        <f>IF(OR(H8="",E8=""),"",((H8/E8)^(1/3))-1)</f>
        <v/>
      </c>
      <c r="I10" s="487" t="str">
        <f>IF(OR(I8="",E8=""),"",((I8/E8)^(1/4))-1)</f>
        <v/>
      </c>
      <c r="J10" s="481"/>
      <c r="K10" s="481"/>
      <c r="L10" s="481"/>
      <c r="M10" s="771"/>
    </row>
    <row r="11" spans="1:13" s="490" customFormat="1" ht="17.649999999999999" customHeight="1" x14ac:dyDescent="0.35">
      <c r="A11" s="917"/>
      <c r="B11" s="920"/>
      <c r="C11" s="923"/>
      <c r="D11" s="922" t="s">
        <v>45</v>
      </c>
      <c r="E11" s="488"/>
      <c r="F11" s="488" t="s">
        <v>46</v>
      </c>
      <c r="G11" s="488">
        <v>5</v>
      </c>
      <c r="H11" s="488"/>
      <c r="I11" s="488"/>
      <c r="J11" s="489"/>
      <c r="K11" s="489"/>
      <c r="L11" s="489"/>
      <c r="M11" s="925"/>
    </row>
    <row r="12" spans="1:13" s="490" customFormat="1" ht="112.5" customHeight="1" x14ac:dyDescent="0.35">
      <c r="A12" s="918"/>
      <c r="B12" s="921"/>
      <c r="C12" s="924"/>
      <c r="D12" s="924"/>
      <c r="E12" s="778" t="s">
        <v>47</v>
      </c>
      <c r="F12" s="778" t="s">
        <v>48</v>
      </c>
      <c r="G12" s="778" t="s">
        <v>49</v>
      </c>
      <c r="H12" s="778" t="s">
        <v>50</v>
      </c>
      <c r="I12" s="778" t="s">
        <v>51</v>
      </c>
      <c r="J12" s="481"/>
      <c r="K12" s="481"/>
      <c r="L12" s="481"/>
      <c r="M12" s="925"/>
    </row>
    <row r="13" spans="1:13" s="490" customFormat="1" ht="17.649999999999999" customHeight="1" x14ac:dyDescent="0.35">
      <c r="A13" s="916">
        <v>4</v>
      </c>
      <c r="B13" s="927" t="s">
        <v>52</v>
      </c>
      <c r="C13" s="929" t="s">
        <v>53</v>
      </c>
      <c r="D13" s="929" t="s">
        <v>54</v>
      </c>
      <c r="E13" s="488"/>
      <c r="F13" s="488"/>
      <c r="G13" s="488"/>
      <c r="H13" s="488"/>
      <c r="I13" s="488"/>
      <c r="J13" s="489"/>
      <c r="K13" s="489"/>
      <c r="L13" s="489"/>
      <c r="M13" s="925"/>
    </row>
    <row r="14" spans="1:13" s="490" customFormat="1" ht="237" customHeight="1" x14ac:dyDescent="0.35">
      <c r="A14" s="918"/>
      <c r="B14" s="928"/>
      <c r="C14" s="930"/>
      <c r="D14" s="930"/>
      <c r="E14" s="778" t="s">
        <v>47</v>
      </c>
      <c r="F14" s="778" t="s">
        <v>55</v>
      </c>
      <c r="G14" s="778" t="s">
        <v>56</v>
      </c>
      <c r="H14" s="778" t="s">
        <v>57</v>
      </c>
      <c r="I14" s="778" t="s">
        <v>58</v>
      </c>
      <c r="J14" s="481"/>
      <c r="K14" s="481"/>
      <c r="L14" s="481"/>
      <c r="M14" s="925"/>
    </row>
    <row r="15" spans="1:13" s="490" customFormat="1" ht="17.649999999999999" customHeight="1" x14ac:dyDescent="0.35">
      <c r="A15" s="926">
        <v>5</v>
      </c>
      <c r="B15" s="927" t="s">
        <v>59</v>
      </c>
      <c r="C15" s="929" t="s">
        <v>60</v>
      </c>
      <c r="D15" s="929" t="s">
        <v>61</v>
      </c>
      <c r="E15" s="488"/>
      <c r="F15" s="488"/>
      <c r="G15" s="488"/>
      <c r="H15" s="488"/>
      <c r="I15" s="488"/>
      <c r="J15" s="489"/>
      <c r="K15" s="489"/>
      <c r="L15" s="489"/>
      <c r="M15" s="925"/>
    </row>
    <row r="16" spans="1:13" s="490" customFormat="1" ht="156.75" customHeight="1" x14ac:dyDescent="0.35">
      <c r="A16" s="926"/>
      <c r="B16" s="928"/>
      <c r="C16" s="930"/>
      <c r="D16" s="930"/>
      <c r="E16" s="778" t="s">
        <v>62</v>
      </c>
      <c r="F16" s="778" t="s">
        <v>63</v>
      </c>
      <c r="G16" s="778" t="s">
        <v>64</v>
      </c>
      <c r="H16" s="778" t="s">
        <v>65</v>
      </c>
      <c r="I16" s="778" t="s">
        <v>66</v>
      </c>
      <c r="J16" s="481"/>
      <c r="K16" s="481"/>
      <c r="L16" s="481"/>
      <c r="M16" s="925"/>
    </row>
    <row r="17" spans="1:16" s="490" customFormat="1" ht="17.649999999999999" customHeight="1" x14ac:dyDescent="0.35">
      <c r="A17" s="926">
        <v>6</v>
      </c>
      <c r="B17" s="927" t="s">
        <v>67</v>
      </c>
      <c r="C17" s="929" t="s">
        <v>68</v>
      </c>
      <c r="D17" s="929"/>
      <c r="E17" s="488"/>
      <c r="F17" s="488"/>
      <c r="G17" s="488"/>
      <c r="H17" s="488"/>
      <c r="I17" s="488"/>
      <c r="J17" s="489"/>
      <c r="K17" s="489"/>
      <c r="L17" s="489"/>
      <c r="M17" s="925"/>
    </row>
    <row r="18" spans="1:16" s="490" customFormat="1" ht="147" customHeight="1" x14ac:dyDescent="0.35">
      <c r="A18" s="926"/>
      <c r="B18" s="928"/>
      <c r="C18" s="930"/>
      <c r="D18" s="930"/>
      <c r="E18" s="778" t="s">
        <v>69</v>
      </c>
      <c r="F18" s="778" t="s">
        <v>70</v>
      </c>
      <c r="G18" s="778" t="s">
        <v>71</v>
      </c>
      <c r="H18" s="778" t="s">
        <v>72</v>
      </c>
      <c r="I18" s="778" t="s">
        <v>73</v>
      </c>
      <c r="J18" s="481"/>
      <c r="K18" s="481"/>
      <c r="L18" s="481"/>
      <c r="M18" s="925"/>
    </row>
    <row r="19" spans="1:16" x14ac:dyDescent="0.35">
      <c r="A19" s="491"/>
      <c r="B19" s="492"/>
      <c r="C19" s="492"/>
      <c r="D19" s="493"/>
      <c r="E19" s="492"/>
      <c r="F19" s="492"/>
      <c r="G19" s="492"/>
      <c r="H19" s="492"/>
      <c r="I19" s="492"/>
      <c r="J19" s="493"/>
      <c r="K19" s="493"/>
      <c r="L19" s="493"/>
      <c r="M19" s="494"/>
    </row>
    <row r="20" spans="1:16" s="498" customFormat="1" x14ac:dyDescent="0.45">
      <c r="A20" s="495"/>
      <c r="B20" s="496" t="s">
        <v>74</v>
      </c>
      <c r="C20" s="497"/>
      <c r="M20" s="499"/>
    </row>
    <row r="21" spans="1:16" s="498" customFormat="1" ht="15.5" x14ac:dyDescent="0.35">
      <c r="A21" s="495"/>
      <c r="M21" s="499"/>
    </row>
    <row r="22" spans="1:16" s="498" customFormat="1" ht="15.5" x14ac:dyDescent="0.35">
      <c r="A22" s="495"/>
      <c r="M22" s="499"/>
    </row>
    <row r="23" spans="1:16" s="498" customFormat="1" ht="15.5" x14ac:dyDescent="0.35">
      <c r="A23" s="495"/>
      <c r="M23" s="499"/>
    </row>
    <row r="24" spans="1:16" s="498" customFormat="1" ht="15.5" x14ac:dyDescent="0.35">
      <c r="A24" s="495"/>
      <c r="M24" s="499"/>
    </row>
    <row r="25" spans="1:16" s="498" customFormat="1" ht="15.5" x14ac:dyDescent="0.35">
      <c r="A25" s="495"/>
      <c r="M25" s="499"/>
    </row>
    <row r="26" spans="1:16" s="498" customFormat="1" ht="15.5" x14ac:dyDescent="0.35">
      <c r="A26" s="495"/>
      <c r="M26" s="499"/>
    </row>
    <row r="27" spans="1:16" s="498" customFormat="1" ht="15.5" x14ac:dyDescent="0.35">
      <c r="A27" s="495"/>
      <c r="M27" s="499"/>
    </row>
    <row r="28" spans="1:16" s="498" customFormat="1" ht="15.5" x14ac:dyDescent="0.35">
      <c r="A28" s="495"/>
      <c r="M28" s="499"/>
    </row>
    <row r="29" spans="1:16" x14ac:dyDescent="0.35">
      <c r="A29" s="495"/>
      <c r="B29" s="498"/>
      <c r="C29" s="498"/>
      <c r="D29" s="498"/>
      <c r="E29" s="498"/>
      <c r="F29" s="498"/>
      <c r="G29" s="498"/>
      <c r="H29" s="498"/>
      <c r="I29" s="498"/>
      <c r="J29" s="498"/>
      <c r="K29" s="498"/>
      <c r="L29" s="498"/>
      <c r="M29" s="499"/>
      <c r="N29" s="498"/>
      <c r="O29" s="498"/>
      <c r="P29" s="498"/>
    </row>
    <row r="30" spans="1:16" x14ac:dyDescent="0.35">
      <c r="A30" s="500"/>
      <c r="M30" s="501"/>
    </row>
    <row r="31" spans="1:16" x14ac:dyDescent="0.35">
      <c r="A31" s="500"/>
      <c r="M31" s="501"/>
    </row>
    <row r="32" spans="1:16" x14ac:dyDescent="0.35">
      <c r="A32" s="500"/>
      <c r="M32" s="501"/>
    </row>
    <row r="33" spans="1:13" x14ac:dyDescent="0.35">
      <c r="A33" s="500"/>
      <c r="M33" s="501"/>
    </row>
    <row r="34" spans="1:13" x14ac:dyDescent="0.35">
      <c r="A34" s="500"/>
      <c r="M34" s="501"/>
    </row>
    <row r="35" spans="1:13" x14ac:dyDescent="0.35">
      <c r="A35" s="500"/>
      <c r="M35" s="501"/>
    </row>
    <row r="36" spans="1:13" x14ac:dyDescent="0.35">
      <c r="A36" s="500"/>
      <c r="M36" s="501"/>
    </row>
  </sheetData>
  <sheetProtection selectLockedCells="1"/>
  <mergeCells count="37">
    <mergeCell ref="A17:A18"/>
    <mergeCell ref="B17:B18"/>
    <mergeCell ref="C17:C18"/>
    <mergeCell ref="D17:D18"/>
    <mergeCell ref="M17:M18"/>
    <mergeCell ref="A13:A14"/>
    <mergeCell ref="B13:B14"/>
    <mergeCell ref="C13:C14"/>
    <mergeCell ref="D13:D14"/>
    <mergeCell ref="M13:M14"/>
    <mergeCell ref="A15:A16"/>
    <mergeCell ref="B15:B16"/>
    <mergeCell ref="C15:C16"/>
    <mergeCell ref="D15:D16"/>
    <mergeCell ref="M15:M16"/>
    <mergeCell ref="A5:A6"/>
    <mergeCell ref="B5:B6"/>
    <mergeCell ref="C5:C6"/>
    <mergeCell ref="D5:D6"/>
    <mergeCell ref="M5:M6"/>
    <mergeCell ref="A7:A12"/>
    <mergeCell ref="B7:B12"/>
    <mergeCell ref="C7:C12"/>
    <mergeCell ref="D11:D12"/>
    <mergeCell ref="M11:M12"/>
    <mergeCell ref="M1:M2"/>
    <mergeCell ref="A3:A4"/>
    <mergeCell ref="B3:B4"/>
    <mergeCell ref="C3:C4"/>
    <mergeCell ref="D3:D4"/>
    <mergeCell ref="M3:M4"/>
    <mergeCell ref="A1:A2"/>
    <mergeCell ref="B1:B2"/>
    <mergeCell ref="C1:C2"/>
    <mergeCell ref="D1:D2"/>
    <mergeCell ref="E1:I1"/>
    <mergeCell ref="J1:L1"/>
  </mergeCells>
  <dataValidations count="1">
    <dataValidation type="whole" allowBlank="1" showInputMessage="1" showErrorMessage="1" sqref="J11:L11 J5:L5" xr:uid="{AF1E941C-C8BE-41B8-B9D0-35EA11DD411E}">
      <formula1>0</formula1>
      <formula2>5</formula2>
    </dataValidation>
  </dataValidations>
  <pageMargins left="0.59055118110236227" right="0.59055118110236227" top="0.94488188976377963" bottom="0.82677165354330717" header="0.31496062992125984" footer="0.31496062992125984"/>
  <pageSetup scale="45" orientation="landscape" horizontalDpi="4294967293" r:id="rId1"/>
  <headerFooter>
    <oddHeader>&amp;L&amp;"Palatino Linotype,Negrita"&amp;18
Componente 1: Gestión comercial&amp;C&amp;"Palatino Linotype,Negrita"&amp;24Programa Fábricas de Productividad
&amp;20Guía para el diagnóstico general de la Empresa&amp;R&amp;G</oddHeader>
    <oddFooter>&amp;L&amp;"Palatino Linotype,Normal"&amp;G
&amp;"Palatino Linotype,Cursiva"© Colombia Productiva&amp;C&amp;"Palatino Linotype,Negrita"&amp;18&amp;G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1" manualBreakCount="1">
    <brk id="14" max="12" man="1"/>
  </rowBreaks>
  <colBreaks count="1" manualBreakCount="1">
    <brk id="13" max="48" man="1"/>
  </colBreaks>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theme="0" tint="-0.499984740745262"/>
    <pageSetUpPr fitToPage="1"/>
  </sheetPr>
  <dimension ref="A1:S67"/>
  <sheetViews>
    <sheetView showGridLines="0" view="pageBreakPreview" topLeftCell="A42" zoomScale="50" zoomScaleNormal="50" zoomScaleSheetLayoutView="50" workbookViewId="0">
      <selection activeCell="K47" sqref="K47"/>
    </sheetView>
  </sheetViews>
  <sheetFormatPr baseColWidth="10" defaultColWidth="11.453125" defaultRowHeight="21" x14ac:dyDescent="0.35"/>
  <cols>
    <col min="1" max="1" width="8.54296875" style="15" customWidth="1"/>
    <col min="2" max="2" width="35.453125" style="15" customWidth="1"/>
    <col min="3" max="3" width="22.453125" style="33" customWidth="1"/>
    <col min="4" max="4" width="23.7265625" style="15" customWidth="1"/>
    <col min="5" max="5" width="19.453125" style="15" customWidth="1"/>
    <col min="6" max="6" width="18.1796875" style="15" customWidth="1"/>
    <col min="7" max="7" width="23.453125" style="15" customWidth="1"/>
    <col min="8" max="8" width="15.54296875" style="15" customWidth="1"/>
    <col min="9" max="9" width="14.54296875" style="15" customWidth="1"/>
    <col min="10" max="10" width="19.7265625" style="15" customWidth="1"/>
    <col min="11" max="11" width="19.453125" style="15" customWidth="1"/>
    <col min="12" max="12" width="17.54296875" style="15" customWidth="1"/>
    <col min="13" max="13" width="19.54296875" style="15" customWidth="1"/>
    <col min="14" max="14" width="18.1796875" style="15" customWidth="1"/>
    <col min="15" max="15" width="20.1796875" style="15" customWidth="1"/>
    <col min="16" max="16" width="8.453125" style="15" customWidth="1"/>
    <col min="17" max="16384" width="11.453125" style="15"/>
  </cols>
  <sheetData>
    <row r="1" spans="1:17" ht="70.5" customHeight="1" x14ac:dyDescent="0.35">
      <c r="A1" s="1359" t="s">
        <v>916</v>
      </c>
      <c r="B1" s="1359"/>
      <c r="C1" s="1359"/>
      <c r="D1" s="1359"/>
      <c r="E1" s="1359"/>
      <c r="F1" s="1359"/>
      <c r="G1" s="1359"/>
      <c r="H1" s="1359"/>
      <c r="I1" s="1359"/>
      <c r="J1" s="1359"/>
      <c r="K1" s="1359"/>
      <c r="L1" s="1359"/>
      <c r="M1" s="1359"/>
      <c r="N1" s="1359"/>
      <c r="O1" s="1359"/>
      <c r="P1" s="133"/>
    </row>
    <row r="4" spans="1:17" x14ac:dyDescent="0.35">
      <c r="K4" s="20" t="s">
        <v>853</v>
      </c>
    </row>
    <row r="5" spans="1:17" x14ac:dyDescent="0.35">
      <c r="K5" s="20" t="s">
        <v>854</v>
      </c>
    </row>
    <row r="7" spans="1:17" ht="49.5" customHeight="1" x14ac:dyDescent="0.35">
      <c r="B7" s="1572" t="s">
        <v>1096</v>
      </c>
      <c r="C7" s="1572"/>
      <c r="D7" s="1572"/>
      <c r="E7" s="1572"/>
      <c r="F7" s="1572"/>
      <c r="G7" s="1572"/>
      <c r="H7" s="1572"/>
      <c r="I7" s="1572"/>
      <c r="J7" s="1572"/>
      <c r="K7" s="1572"/>
      <c r="L7" s="1572"/>
      <c r="M7" s="1572"/>
      <c r="N7" s="1572"/>
      <c r="O7" s="1572"/>
    </row>
    <row r="8" spans="1:17" ht="22.5" customHeight="1" x14ac:dyDescent="0.35">
      <c r="B8" s="3" t="s">
        <v>1097</v>
      </c>
      <c r="C8" s="11"/>
      <c r="D8" s="4"/>
      <c r="E8" s="4"/>
      <c r="F8" s="44"/>
      <c r="G8" s="4"/>
      <c r="H8" s="4"/>
      <c r="I8" s="4"/>
      <c r="J8" s="4"/>
    </row>
    <row r="9" spans="1:17" ht="21.5" thickBot="1" x14ac:dyDescent="0.4">
      <c r="B9" s="132" t="str">
        <f>+'1. V.Inicial- DX (Gestor)'!B9</f>
        <v>Versión 1: 08/06/2020</v>
      </c>
      <c r="C9" s="132"/>
      <c r="N9" s="1352"/>
      <c r="O9" s="1352"/>
    </row>
    <row r="10" spans="1:17" ht="45" customHeight="1" thickBot="1" x14ac:dyDescent="0.4">
      <c r="B10" s="1170" t="s">
        <v>858</v>
      </c>
      <c r="C10" s="1132"/>
      <c r="D10" s="1132"/>
      <c r="E10" s="1132"/>
      <c r="F10" s="1132"/>
      <c r="G10" s="1132"/>
      <c r="H10" s="1132"/>
      <c r="I10" s="1132"/>
      <c r="J10" s="1132"/>
      <c r="K10" s="1132"/>
      <c r="L10" s="1132"/>
      <c r="M10" s="1132"/>
      <c r="N10" s="1132"/>
      <c r="O10" s="1133"/>
    </row>
    <row r="11" spans="1:17" ht="51" customHeight="1" thickBot="1" x14ac:dyDescent="0.4">
      <c r="B11" s="1581" t="s">
        <v>1098</v>
      </c>
      <c r="C11" s="1582"/>
      <c r="D11" s="1582"/>
      <c r="E11" s="1582"/>
      <c r="F11" s="1582"/>
      <c r="G11" s="1582"/>
      <c r="H11" s="1582"/>
      <c r="I11" s="1582"/>
      <c r="J11" s="1582"/>
      <c r="K11" s="1582"/>
      <c r="L11" s="1582"/>
      <c r="M11" s="1582"/>
      <c r="N11" s="1582"/>
      <c r="O11" s="1583"/>
    </row>
    <row r="12" spans="1:17" ht="53.25" customHeight="1" thickBot="1" x14ac:dyDescent="0.4">
      <c r="B12" s="1573" t="s">
        <v>860</v>
      </c>
      <c r="C12" s="1574"/>
      <c r="D12" s="1575" t="str">
        <f>+'1. V.Inicial- DX (Gestor)'!C12</f>
        <v>ABC</v>
      </c>
      <c r="E12" s="1576"/>
      <c r="F12" s="1576"/>
      <c r="G12" s="1576"/>
      <c r="H12" s="1577"/>
      <c r="I12" s="1578" t="s">
        <v>1099</v>
      </c>
      <c r="J12" s="1579"/>
      <c r="K12" s="1580"/>
      <c r="L12" s="1575">
        <f>+'1. V.Inicial- DX (Gestor)'!J12</f>
        <v>8</v>
      </c>
      <c r="M12" s="1576"/>
      <c r="N12" s="1576"/>
      <c r="O12" s="1577"/>
    </row>
    <row r="13" spans="1:17" ht="53.25" customHeight="1" thickBot="1" x14ac:dyDescent="0.4">
      <c r="B13" s="1588" t="s">
        <v>1100</v>
      </c>
      <c r="C13" s="1590"/>
      <c r="D13" s="1381">
        <f>+'2. Plan de Trabajo (Ext)'!D13:H13</f>
        <v>44221</v>
      </c>
      <c r="E13" s="1423"/>
      <c r="F13" s="1423"/>
      <c r="G13" s="1423"/>
      <c r="H13" s="1424"/>
      <c r="I13" s="1588" t="str">
        <f>+'2. Plan de Trabajo (Ext)'!I13:J13</f>
        <v>Fecha Fin Intervención:</v>
      </c>
      <c r="J13" s="1589"/>
      <c r="K13" s="1590"/>
      <c r="L13" s="1381">
        <f>+'2. Plan de Trabajo (Ext)'!K13</f>
        <v>44281</v>
      </c>
      <c r="M13" s="1423"/>
      <c r="N13" s="1423"/>
      <c r="O13" s="1423"/>
      <c r="P13" s="716" t="s">
        <v>1101</v>
      </c>
      <c r="Q13" s="717"/>
    </row>
    <row r="14" spans="1:17" ht="53.25" customHeight="1" thickBot="1" x14ac:dyDescent="0.4">
      <c r="B14" s="1573" t="s">
        <v>1102</v>
      </c>
      <c r="C14" s="1574"/>
      <c r="D14" s="1603" t="str">
        <f>+'1. V.Inicial- DX (Gestor)'!J14</f>
        <v>Medellín</v>
      </c>
      <c r="E14" s="1604"/>
      <c r="F14" s="1604"/>
      <c r="G14" s="1604"/>
      <c r="H14" s="1605"/>
      <c r="I14" s="1593" t="s">
        <v>1103</v>
      </c>
      <c r="J14" s="1594"/>
      <c r="K14" s="1595"/>
      <c r="L14" s="1596">
        <f>+'2. Plan de Trabajo (Ext)'!K16:M16</f>
        <v>0</v>
      </c>
      <c r="M14" s="1597"/>
      <c r="N14" s="1597"/>
      <c r="O14" s="1598"/>
    </row>
    <row r="15" spans="1:17" ht="57" customHeight="1" thickBot="1" x14ac:dyDescent="0.4">
      <c r="B15" s="1588" t="s">
        <v>945</v>
      </c>
      <c r="C15" s="1574"/>
      <c r="D15" s="219" t="str">
        <f>+'2. Plan de Trabajo (Ext)'!D14</f>
        <v>YZ</v>
      </c>
      <c r="E15" s="220"/>
      <c r="F15" s="220"/>
      <c r="G15" s="220"/>
      <c r="H15" s="220"/>
      <c r="I15" s="1588" t="s">
        <v>948</v>
      </c>
      <c r="J15" s="1589"/>
      <c r="K15" s="1590"/>
      <c r="L15" s="220" t="str">
        <f>+'2. Plan de Trabajo (Ext)'!D15</f>
        <v>AB</v>
      </c>
      <c r="M15" s="220"/>
      <c r="N15" s="220"/>
      <c r="O15" s="221"/>
    </row>
    <row r="16" spans="1:17" ht="57" customHeight="1" thickBot="1" x14ac:dyDescent="0.4">
      <c r="B16" s="1588" t="s">
        <v>920</v>
      </c>
      <c r="C16" s="1590"/>
      <c r="D16" s="1591" t="str">
        <f>+'1. V.Inicial- DX (Gestor)'!C55</f>
        <v>Productividad operacional</v>
      </c>
      <c r="E16" s="1591"/>
      <c r="F16" s="1591"/>
      <c r="G16" s="1591"/>
      <c r="H16" s="1591"/>
      <c r="I16" s="1591"/>
      <c r="J16" s="1591"/>
      <c r="K16" s="1591"/>
      <c r="L16" s="1591"/>
      <c r="M16" s="1591"/>
      <c r="N16" s="1591"/>
      <c r="O16" s="1592"/>
    </row>
    <row r="17" spans="2:15" ht="57" customHeight="1" thickBot="1" x14ac:dyDescent="0.4">
      <c r="B17" s="1588" t="s">
        <v>1104</v>
      </c>
      <c r="C17" s="1590"/>
      <c r="D17" s="694" t="str">
        <f>+'1. V.Inicial- DX (Gestor)'!C15</f>
        <v>C2221</v>
      </c>
      <c r="E17" s="1602" t="str">
        <f>VLOOKUP(D17,SIREM!$F$1:$G$2127,2,FALSE)</f>
        <v>Fabricación de formas básicas de plástico</v>
      </c>
      <c r="F17" s="1602"/>
      <c r="G17" s="1602"/>
      <c r="H17" s="1602"/>
      <c r="I17" s="220"/>
      <c r="J17" s="220"/>
      <c r="K17" s="220"/>
      <c r="L17" s="220"/>
      <c r="M17" s="220"/>
      <c r="N17" s="220"/>
      <c r="O17" s="221"/>
    </row>
    <row r="18" spans="2:15" ht="82" customHeight="1" thickBot="1" x14ac:dyDescent="0.4">
      <c r="B18" s="1578" t="s">
        <v>1105</v>
      </c>
      <c r="C18" s="1580"/>
      <c r="D18" s="1569"/>
      <c r="E18" s="1570"/>
      <c r="F18" s="1570"/>
      <c r="G18" s="1570"/>
      <c r="H18" s="1571"/>
      <c r="I18" s="1599" t="s">
        <v>1106</v>
      </c>
      <c r="J18" s="1600"/>
      <c r="K18" s="1601"/>
      <c r="L18" s="1569"/>
      <c r="M18" s="1570"/>
      <c r="N18" s="1570"/>
      <c r="O18" s="1571"/>
    </row>
    <row r="19" spans="2:15" ht="41.25" customHeight="1" thickBot="1" x14ac:dyDescent="0.4">
      <c r="B19" s="34"/>
      <c r="C19" s="34"/>
      <c r="D19" s="35"/>
      <c r="E19" s="35"/>
      <c r="F19" s="35"/>
      <c r="G19" s="35"/>
      <c r="H19" s="35"/>
      <c r="I19" s="35"/>
      <c r="J19" s="35"/>
      <c r="K19" s="35"/>
      <c r="L19" s="35"/>
      <c r="M19" s="35"/>
      <c r="N19" s="35"/>
      <c r="O19" s="35"/>
    </row>
    <row r="20" spans="2:15" ht="45" customHeight="1" thickBot="1" x14ac:dyDescent="0.4">
      <c r="B20" s="1170" t="s">
        <v>872</v>
      </c>
      <c r="C20" s="1132"/>
      <c r="D20" s="1132"/>
      <c r="E20" s="1132"/>
      <c r="F20" s="1132"/>
      <c r="G20" s="1132"/>
      <c r="H20" s="1132"/>
      <c r="I20" s="1132"/>
      <c r="J20" s="1132"/>
      <c r="K20" s="1132"/>
      <c r="L20" s="1132"/>
      <c r="M20" s="1132"/>
      <c r="N20" s="1132"/>
      <c r="O20" s="1133"/>
    </row>
    <row r="21" spans="2:15" ht="27" customHeight="1" thickBot="1" x14ac:dyDescent="0.4">
      <c r="B21" s="804" t="s">
        <v>1107</v>
      </c>
      <c r="C21" s="37"/>
      <c r="D21" s="37"/>
      <c r="E21" s="37"/>
      <c r="F21" s="37"/>
      <c r="G21" s="37"/>
      <c r="H21" s="37"/>
      <c r="I21" s="37"/>
      <c r="J21" s="37"/>
      <c r="K21" s="37"/>
      <c r="L21" s="37"/>
      <c r="M21" s="37"/>
      <c r="N21" s="37"/>
      <c r="O21" s="38"/>
    </row>
    <row r="22" spans="2:15" s="9" customFormat="1" ht="37.5" customHeight="1" thickBot="1" x14ac:dyDescent="0.4">
      <c r="B22" s="1335" t="s">
        <v>874</v>
      </c>
      <c r="C22" s="1336"/>
      <c r="D22" s="1397"/>
      <c r="E22" s="1468" t="s">
        <v>875</v>
      </c>
      <c r="F22" s="1341"/>
      <c r="G22" s="1341"/>
      <c r="H22" s="1469"/>
      <c r="I22" s="1335" t="s">
        <v>876</v>
      </c>
      <c r="J22" s="1336"/>
      <c r="K22" s="1397"/>
      <c r="L22" s="1335" t="s">
        <v>1108</v>
      </c>
      <c r="M22" s="1336"/>
      <c r="N22" s="1336"/>
      <c r="O22" s="1397"/>
    </row>
    <row r="23" spans="2:15" ht="38.25" customHeight="1" x14ac:dyDescent="0.35">
      <c r="B23" s="1584" t="s">
        <v>738</v>
      </c>
      <c r="C23" s="1585"/>
      <c r="D23" s="1586"/>
      <c r="E23" s="1417"/>
      <c r="F23" s="1418"/>
      <c r="G23" s="1418"/>
      <c r="H23" s="1419"/>
      <c r="I23" s="1415"/>
      <c r="J23" s="1587"/>
      <c r="K23" s="1416"/>
      <c r="L23" s="1417"/>
      <c r="M23" s="1415"/>
      <c r="N23" s="1418"/>
      <c r="O23" s="1419"/>
    </row>
    <row r="24" spans="2:15" ht="38.25" customHeight="1" x14ac:dyDescent="0.35">
      <c r="B24" s="1159" t="s">
        <v>740</v>
      </c>
      <c r="C24" s="1160"/>
      <c r="D24" s="1553"/>
      <c r="E24" s="1420"/>
      <c r="F24" s="1421"/>
      <c r="G24" s="1421"/>
      <c r="H24" s="1422"/>
      <c r="I24" s="1393"/>
      <c r="J24" s="1388"/>
      <c r="K24" s="1387"/>
      <c r="L24" s="1420"/>
      <c r="M24" s="1393"/>
      <c r="N24" s="1421"/>
      <c r="O24" s="1422"/>
    </row>
    <row r="25" spans="2:15" ht="38.25" customHeight="1" x14ac:dyDescent="0.35">
      <c r="B25" s="1159" t="s">
        <v>752</v>
      </c>
      <c r="C25" s="1160"/>
      <c r="D25" s="1553"/>
      <c r="E25" s="1420"/>
      <c r="F25" s="1421"/>
      <c r="G25" s="1421"/>
      <c r="H25" s="1422"/>
      <c r="I25" s="1393"/>
      <c r="J25" s="1388"/>
      <c r="K25" s="1387"/>
      <c r="L25" s="1420"/>
      <c r="M25" s="1393"/>
      <c r="N25" s="1421"/>
      <c r="O25" s="1422"/>
    </row>
    <row r="26" spans="2:15" ht="38.25" customHeight="1" x14ac:dyDescent="0.35">
      <c r="B26" s="1159" t="s">
        <v>753</v>
      </c>
      <c r="C26" s="1160"/>
      <c r="D26" s="1553"/>
      <c r="E26" s="1420"/>
      <c r="F26" s="1421"/>
      <c r="G26" s="1421"/>
      <c r="H26" s="1422"/>
      <c r="I26" s="1393"/>
      <c r="J26" s="1388"/>
      <c r="K26" s="1387"/>
      <c r="L26" s="1420"/>
      <c r="M26" s="1393"/>
      <c r="N26" s="1421"/>
      <c r="O26" s="1422"/>
    </row>
    <row r="27" spans="2:15" ht="38.25" customHeight="1" thickBot="1" x14ac:dyDescent="0.4">
      <c r="B27" s="1235" t="s">
        <v>755</v>
      </c>
      <c r="C27" s="1236"/>
      <c r="D27" s="1612"/>
      <c r="E27" s="1411"/>
      <c r="F27" s="1412"/>
      <c r="G27" s="1412"/>
      <c r="H27" s="1413"/>
      <c r="I27" s="1409"/>
      <c r="J27" s="1511"/>
      <c r="K27" s="1410"/>
      <c r="L27" s="1411"/>
      <c r="M27" s="1409"/>
      <c r="N27" s="1412"/>
      <c r="O27" s="1413"/>
    </row>
    <row r="28" spans="2:15" ht="40.5" customHeight="1" thickBot="1" x14ac:dyDescent="0.4">
      <c r="B28" s="3"/>
      <c r="C28" s="11"/>
      <c r="D28" s="3"/>
      <c r="E28" s="20"/>
      <c r="F28" s="20"/>
      <c r="G28" s="20"/>
      <c r="H28" s="20"/>
      <c r="L28" s="20"/>
      <c r="M28" s="20"/>
      <c r="N28" s="20"/>
      <c r="O28" s="20"/>
    </row>
    <row r="29" spans="2:15" ht="45" customHeight="1" thickBot="1" x14ac:dyDescent="0.4">
      <c r="B29" s="1130" t="s">
        <v>1109</v>
      </c>
      <c r="C29" s="1131"/>
      <c r="D29" s="1131"/>
      <c r="E29" s="1132"/>
      <c r="F29" s="1132"/>
      <c r="G29" s="1132"/>
      <c r="H29" s="1132"/>
      <c r="I29" s="1132"/>
      <c r="J29" s="1132"/>
      <c r="K29" s="1132"/>
      <c r="L29" s="1132"/>
      <c r="M29" s="1132"/>
      <c r="N29" s="1132"/>
      <c r="O29" s="1133"/>
    </row>
    <row r="30" spans="2:15" ht="44.25" customHeight="1" thickBot="1" x14ac:dyDescent="0.4">
      <c r="B30" s="1251" t="s">
        <v>1110</v>
      </c>
      <c r="C30" s="1252"/>
      <c r="D30" s="1252"/>
      <c r="E30" s="1252"/>
      <c r="F30" s="1252"/>
      <c r="G30" s="1252"/>
      <c r="H30" s="1252"/>
      <c r="I30" s="1252"/>
      <c r="J30" s="1252"/>
      <c r="K30" s="1252"/>
      <c r="L30" s="1252"/>
      <c r="M30" s="1252"/>
      <c r="N30" s="1252"/>
      <c r="O30" s="1253"/>
    </row>
    <row r="31" spans="2:15" ht="39" customHeight="1" x14ac:dyDescent="0.35">
      <c r="B31" s="1606" t="s">
        <v>1111</v>
      </c>
      <c r="C31" s="1607"/>
      <c r="D31" s="1607"/>
      <c r="E31" s="1607"/>
      <c r="F31" s="1607"/>
      <c r="G31" s="1608"/>
      <c r="H31" s="1609" t="s">
        <v>1112</v>
      </c>
      <c r="I31" s="1610"/>
      <c r="J31" s="1610"/>
      <c r="K31" s="1610"/>
      <c r="L31" s="1610"/>
      <c r="M31" s="1610"/>
      <c r="N31" s="1610"/>
      <c r="O31" s="1611"/>
    </row>
    <row r="32" spans="2:15" ht="50.5" customHeight="1" x14ac:dyDescent="0.35">
      <c r="B32" s="1551"/>
      <c r="C32" s="1549"/>
      <c r="D32" s="1549"/>
      <c r="E32" s="1549"/>
      <c r="F32" s="1549"/>
      <c r="G32" s="1552"/>
      <c r="H32" s="1548"/>
      <c r="I32" s="1549"/>
      <c r="J32" s="1549"/>
      <c r="K32" s="1549"/>
      <c r="L32" s="1549"/>
      <c r="M32" s="1549"/>
      <c r="N32" s="1549"/>
      <c r="O32" s="1550"/>
    </row>
    <row r="33" spans="2:19" ht="50.5" customHeight="1" x14ac:dyDescent="0.35">
      <c r="B33" s="1551"/>
      <c r="C33" s="1549"/>
      <c r="D33" s="1549"/>
      <c r="E33" s="1549"/>
      <c r="F33" s="1549"/>
      <c r="G33" s="1552"/>
      <c r="H33" s="1548"/>
      <c r="I33" s="1549"/>
      <c r="J33" s="1549"/>
      <c r="K33" s="1549"/>
      <c r="L33" s="1549"/>
      <c r="M33" s="1549"/>
      <c r="N33" s="1549"/>
      <c r="O33" s="1550"/>
    </row>
    <row r="34" spans="2:19" ht="50.5" customHeight="1" x14ac:dyDescent="0.35">
      <c r="B34" s="1551"/>
      <c r="C34" s="1549"/>
      <c r="D34" s="1549"/>
      <c r="E34" s="1549"/>
      <c r="F34" s="1549"/>
      <c r="G34" s="1552"/>
      <c r="H34" s="1548"/>
      <c r="I34" s="1549"/>
      <c r="J34" s="1549"/>
      <c r="K34" s="1549"/>
      <c r="L34" s="1549"/>
      <c r="M34" s="1549"/>
      <c r="N34" s="1549"/>
      <c r="O34" s="1550"/>
    </row>
    <row r="35" spans="2:19" ht="50.5" customHeight="1" x14ac:dyDescent="0.35">
      <c r="B35" s="1551"/>
      <c r="C35" s="1549"/>
      <c r="D35" s="1549"/>
      <c r="E35" s="1549"/>
      <c r="F35" s="1549"/>
      <c r="G35" s="1552"/>
      <c r="H35" s="1548"/>
      <c r="I35" s="1549"/>
      <c r="J35" s="1549"/>
      <c r="K35" s="1549"/>
      <c r="L35" s="1549"/>
      <c r="M35" s="1549"/>
      <c r="N35" s="1549"/>
      <c r="O35" s="1550"/>
    </row>
    <row r="36" spans="2:19" ht="50.5" customHeight="1" x14ac:dyDescent="0.35">
      <c r="B36" s="1551"/>
      <c r="C36" s="1549"/>
      <c r="D36" s="1549"/>
      <c r="E36" s="1549"/>
      <c r="F36" s="1549"/>
      <c r="G36" s="1552"/>
      <c r="H36" s="1548"/>
      <c r="I36" s="1549"/>
      <c r="J36" s="1549"/>
      <c r="K36" s="1549"/>
      <c r="L36" s="1549"/>
      <c r="M36" s="1549"/>
      <c r="N36" s="1549"/>
      <c r="O36" s="1550"/>
    </row>
    <row r="37" spans="2:19" ht="50.5" customHeight="1" x14ac:dyDescent="0.35">
      <c r="B37" s="1551"/>
      <c r="C37" s="1549"/>
      <c r="D37" s="1549"/>
      <c r="E37" s="1549"/>
      <c r="F37" s="1549"/>
      <c r="G37" s="1552"/>
      <c r="H37" s="1548"/>
      <c r="I37" s="1549"/>
      <c r="J37" s="1549"/>
      <c r="K37" s="1549"/>
      <c r="L37" s="1549"/>
      <c r="M37" s="1549"/>
      <c r="N37" s="1549"/>
      <c r="O37" s="1550"/>
    </row>
    <row r="38" spans="2:19" ht="50.5" customHeight="1" x14ac:dyDescent="0.35">
      <c r="B38" s="1551"/>
      <c r="C38" s="1549"/>
      <c r="D38" s="1549"/>
      <c r="E38" s="1549"/>
      <c r="F38" s="1549"/>
      <c r="G38" s="1552"/>
      <c r="H38" s="1548"/>
      <c r="I38" s="1549"/>
      <c r="J38" s="1549"/>
      <c r="K38" s="1549"/>
      <c r="L38" s="1549"/>
      <c r="M38" s="1549"/>
      <c r="N38" s="1549"/>
      <c r="O38" s="1550"/>
    </row>
    <row r="39" spans="2:19" ht="50.5" customHeight="1" x14ac:dyDescent="0.35">
      <c r="B39" s="1551"/>
      <c r="C39" s="1549"/>
      <c r="D39" s="1549"/>
      <c r="E39" s="1549"/>
      <c r="F39" s="1549"/>
      <c r="G39" s="1552"/>
      <c r="H39" s="1548"/>
      <c r="I39" s="1549"/>
      <c r="J39" s="1549"/>
      <c r="K39" s="1549"/>
      <c r="L39" s="1549"/>
      <c r="M39" s="1549"/>
      <c r="N39" s="1549"/>
      <c r="O39" s="1550"/>
    </row>
    <row r="40" spans="2:19" ht="38.25" customHeight="1" thickBot="1" x14ac:dyDescent="0.4">
      <c r="B40" s="1621" t="s">
        <v>1113</v>
      </c>
      <c r="C40" s="1622"/>
      <c r="D40" s="1622"/>
      <c r="E40" s="1622"/>
      <c r="F40" s="1622"/>
      <c r="G40" s="1622"/>
      <c r="H40" s="1622"/>
      <c r="I40" s="1622"/>
      <c r="J40" s="1622"/>
      <c r="K40" s="1622"/>
      <c r="L40" s="1622"/>
      <c r="M40" s="1622"/>
      <c r="N40" s="1622"/>
      <c r="O40" s="1623"/>
    </row>
    <row r="41" spans="2:19" ht="125.25" customHeight="1" x14ac:dyDescent="0.35">
      <c r="B41" s="1615"/>
      <c r="C41" s="1616"/>
      <c r="D41" s="1616"/>
      <c r="E41" s="1616"/>
      <c r="F41" s="1616"/>
      <c r="G41" s="1616"/>
      <c r="H41" s="1616"/>
      <c r="I41" s="1616"/>
      <c r="J41" s="1616"/>
      <c r="K41" s="1616"/>
      <c r="L41" s="1616"/>
      <c r="M41" s="1616"/>
      <c r="N41" s="1616"/>
      <c r="O41" s="1617"/>
    </row>
    <row r="42" spans="2:19" ht="256" customHeight="1" thickBot="1" x14ac:dyDescent="0.4">
      <c r="B42" s="1618"/>
      <c r="C42" s="1619"/>
      <c r="D42" s="1619"/>
      <c r="E42" s="1619"/>
      <c r="F42" s="1619"/>
      <c r="G42" s="1619"/>
      <c r="H42" s="1619"/>
      <c r="I42" s="1619"/>
      <c r="J42" s="1619"/>
      <c r="K42" s="1619"/>
      <c r="L42" s="1619"/>
      <c r="M42" s="1619"/>
      <c r="N42" s="1619"/>
      <c r="O42" s="1620"/>
    </row>
    <row r="43" spans="2:19" ht="19.5" customHeight="1" thickBot="1" x14ac:dyDescent="0.4">
      <c r="B43" s="45"/>
      <c r="C43" s="45"/>
      <c r="D43" s="45"/>
      <c r="E43" s="45"/>
      <c r="F43" s="45"/>
      <c r="G43" s="45"/>
      <c r="H43" s="45"/>
      <c r="I43" s="45"/>
      <c r="J43" s="45"/>
      <c r="K43" s="45"/>
      <c r="L43" s="8"/>
      <c r="M43" s="8"/>
      <c r="N43" s="8"/>
      <c r="O43" s="8"/>
    </row>
    <row r="44" spans="2:19" ht="48" customHeight="1" thickBot="1" x14ac:dyDescent="0.4">
      <c r="B44" s="1632" t="s">
        <v>1114</v>
      </c>
      <c r="C44" s="1633"/>
      <c r="D44" s="1633"/>
      <c r="E44" s="1634"/>
      <c r="F44" s="1634"/>
      <c r="G44" s="1634"/>
      <c r="H44" s="1634"/>
      <c r="I44" s="1634"/>
      <c r="J44" s="1634"/>
      <c r="K44" s="1634"/>
      <c r="L44" s="1634"/>
      <c r="M44" s="1634"/>
      <c r="N44" s="1634"/>
      <c r="O44" s="1635"/>
    </row>
    <row r="45" spans="2:19" ht="29.25" customHeight="1" thickBot="1" x14ac:dyDescent="0.4">
      <c r="B45" s="1630" t="s">
        <v>1115</v>
      </c>
      <c r="C45" s="1361"/>
      <c r="D45" s="1361"/>
      <c r="E45" s="1361"/>
      <c r="F45" s="1361"/>
      <c r="G45" s="1361"/>
      <c r="H45" s="1361"/>
      <c r="I45" s="1361"/>
      <c r="J45" s="1361"/>
      <c r="K45" s="1361"/>
      <c r="L45" s="1361"/>
      <c r="M45" s="1361"/>
      <c r="N45" s="1361"/>
      <c r="O45" s="1631"/>
    </row>
    <row r="46" spans="2:19" s="46" customFormat="1" ht="92.5" customHeight="1" thickBot="1" x14ac:dyDescent="0.4">
      <c r="B46" s="728" t="s">
        <v>998</v>
      </c>
      <c r="C46" s="730" t="s">
        <v>1000</v>
      </c>
      <c r="D46" s="730" t="s">
        <v>1116</v>
      </c>
      <c r="E46" s="730" t="s">
        <v>1117</v>
      </c>
      <c r="F46" s="730" t="s">
        <v>1118</v>
      </c>
      <c r="G46" s="876" t="s">
        <v>1004</v>
      </c>
      <c r="H46" s="730" t="s">
        <v>1119</v>
      </c>
      <c r="I46" s="730" t="s">
        <v>1120</v>
      </c>
      <c r="J46" s="876" t="s">
        <v>1004</v>
      </c>
      <c r="K46" s="730" t="s">
        <v>1121</v>
      </c>
      <c r="L46" s="729" t="s">
        <v>1122</v>
      </c>
      <c r="M46" s="1625" t="s">
        <v>1123</v>
      </c>
      <c r="N46" s="1626"/>
      <c r="O46" s="1627"/>
    </row>
    <row r="47" spans="2:19" ht="164.15" customHeight="1" x14ac:dyDescent="0.35">
      <c r="B47" s="733" t="str">
        <f>VLOOKUP($D$16,Indicadores!$A$6:$M$14,2,FALSE)</f>
        <v>Reducción de tiempo de no valor agregado (TNVA)</v>
      </c>
      <c r="C47" s="741" t="str">
        <f>VLOOKUP($D$16,Indicadores!$A$6:$M$14,6,FALSE)</f>
        <v xml:space="preserve">TNVA=∑ Tiempos de no valor agregado para cada subproceso </v>
      </c>
      <c r="D47" s="756" t="s">
        <v>1124</v>
      </c>
      <c r="E47" s="742" t="str">
        <f>VLOOKUP($D$16,Indicadores!$A$6:$M$14,5,FALSE)</f>
        <v>Número de minutos/ horas/ días.</v>
      </c>
      <c r="F47" s="746" t="str">
        <f>+'2. Plan de Trabajo (Ext)'!J113</f>
        <v>45 minutos</v>
      </c>
      <c r="G47" s="743" t="str">
        <f>+'2. Plan de Trabajo (Ext)'!L113</f>
        <v>Los 45 minutos correponden al tiemplo empleado (TE) en el proceso, es el promedio de los meses de marzo y abril de 2019</v>
      </c>
      <c r="H47" s="744" t="str">
        <f>+'3. Seguimiento Int. 1'!H20</f>
        <v>20 Minutos</v>
      </c>
      <c r="I47" s="169" t="s">
        <v>1124</v>
      </c>
      <c r="J47" s="732" t="s">
        <v>1125</v>
      </c>
      <c r="K47" s="872">
        <f>((15/45)-100%)</f>
        <v>-0.66666666666666674</v>
      </c>
      <c r="L47" s="727" t="s">
        <v>886</v>
      </c>
      <c r="M47" s="1554" t="s">
        <v>1126</v>
      </c>
      <c r="N47" s="1555"/>
      <c r="O47" s="1556"/>
      <c r="P47" s="1173" t="s">
        <v>1127</v>
      </c>
      <c r="Q47" s="1173"/>
      <c r="R47" s="1173"/>
      <c r="S47" s="1173"/>
    </row>
    <row r="48" spans="2:19" ht="211.5" customHeight="1" x14ac:dyDescent="0.35">
      <c r="B48" s="733" t="str">
        <f>+'2. Plan de Trabajo (Ext)'!C114</f>
        <v>Ahorros generados por reducción de desperdicios (AD)</v>
      </c>
      <c r="C48" s="741">
        <f>VLOOKUP($D$16,Indicadores!$A$6:$M$14,13,FALSE)</f>
        <v>0</v>
      </c>
      <c r="D48" s="745" t="s">
        <v>1128</v>
      </c>
      <c r="E48" s="742" t="str">
        <f>VLOOKUP($D$16,Indicadores!$A$6:$M$14,12,FALSE)</f>
        <v>Pesos colombianos</v>
      </c>
      <c r="F48" s="746">
        <f>+'2. Plan de Trabajo (Ext)'!J114</f>
        <v>400000</v>
      </c>
      <c r="G48" s="747" t="str">
        <f>+'2. Plan de Trabajo (Ext)'!L114</f>
        <v>El CTH es el promedio del mes de enero</v>
      </c>
      <c r="H48" s="746">
        <f>+'3. Seguimiento Int. 1'!H21</f>
        <v>400000</v>
      </c>
      <c r="I48" s="174">
        <v>280000</v>
      </c>
      <c r="J48" s="732" t="s">
        <v>1129</v>
      </c>
      <c r="K48" s="872">
        <f>((I48/F48)-100%)</f>
        <v>-0.30000000000000004</v>
      </c>
      <c r="L48" s="167" t="s">
        <v>886</v>
      </c>
      <c r="M48" s="1557" t="s">
        <v>1130</v>
      </c>
      <c r="N48" s="1558"/>
      <c r="O48" s="1559"/>
      <c r="P48" s="1173" t="s">
        <v>1127</v>
      </c>
      <c r="Q48" s="1173"/>
      <c r="R48" s="1173"/>
      <c r="S48" s="1173"/>
    </row>
    <row r="49" spans="2:19" ht="227.15" customHeight="1" x14ac:dyDescent="0.35">
      <c r="B49" s="733">
        <f>+'2. Plan de Trabajo (Ext)'!C115</f>
        <v>0</v>
      </c>
      <c r="C49" s="741">
        <f>VLOOKUP($D$16,Indicadores!$A$6:$AC$14,18,FALSE)</f>
        <v>0</v>
      </c>
      <c r="D49" s="748" t="s">
        <v>1131</v>
      </c>
      <c r="E49" s="749" t="s">
        <v>1015</v>
      </c>
      <c r="F49" s="750">
        <f>+'2. Plan de Trabajo (Ext)'!J115</f>
        <v>8</v>
      </c>
      <c r="G49" s="747" t="str">
        <f>+'2. Plan de Trabajo (Ext)'!L115</f>
        <v>EL Tiempo máximo de recuperación es el tiempo máximo que ha ocurrido de acuerdo al histórico de un evento de riesgo en el año 2019</v>
      </c>
      <c r="H49" s="750">
        <f>+'3. Seguimiento Int. 1'!H22</f>
        <v>8</v>
      </c>
      <c r="I49" s="164">
        <v>2</v>
      </c>
      <c r="J49" s="732" t="s">
        <v>1132</v>
      </c>
      <c r="K49" s="872">
        <f>((I49/F49)-100%)</f>
        <v>-0.75</v>
      </c>
      <c r="L49" s="167" t="s">
        <v>886</v>
      </c>
      <c r="M49" s="1508" t="s">
        <v>1133</v>
      </c>
      <c r="N49" s="1509"/>
      <c r="O49" s="1510"/>
    </row>
    <row r="50" spans="2:19" ht="145" customHeight="1" x14ac:dyDescent="0.35">
      <c r="B50" s="734" t="str">
        <f>+'2. Plan de Trabajo (Ext)'!C116</f>
        <v>Tasa de Ventas</v>
      </c>
      <c r="C50" s="751"/>
      <c r="D50" s="751"/>
      <c r="E50" s="751"/>
      <c r="F50" s="751"/>
      <c r="G50" s="752"/>
      <c r="H50" s="751"/>
      <c r="I50" s="47"/>
      <c r="J50" s="731"/>
      <c r="K50" s="835"/>
      <c r="L50" s="134"/>
      <c r="M50" s="1563"/>
      <c r="N50" s="1564"/>
      <c r="O50" s="1565"/>
    </row>
    <row r="51" spans="2:19" ht="145" customHeight="1" thickBot="1" x14ac:dyDescent="0.4">
      <c r="B51" s="735"/>
      <c r="C51" s="753"/>
      <c r="D51" s="753"/>
      <c r="E51" s="753"/>
      <c r="F51" s="753"/>
      <c r="G51" s="754">
        <f>+'2. Plan de Trabajo (Ext)'!L117</f>
        <v>0</v>
      </c>
      <c r="H51" s="753"/>
      <c r="I51" s="736"/>
      <c r="J51" s="736"/>
      <c r="K51" s="836"/>
      <c r="L51" s="737"/>
      <c r="M51" s="1566"/>
      <c r="N51" s="1567"/>
      <c r="O51" s="1568"/>
    </row>
    <row r="52" spans="2:19" ht="33.75" customHeight="1" thickBot="1" x14ac:dyDescent="0.4">
      <c r="B52" s="9"/>
      <c r="C52" s="9"/>
      <c r="D52" s="9"/>
      <c r="E52" s="9"/>
      <c r="F52" s="9"/>
      <c r="G52" s="9"/>
      <c r="H52" s="9"/>
      <c r="I52" s="9"/>
      <c r="J52" s="9"/>
      <c r="K52" s="9"/>
      <c r="L52" s="29"/>
      <c r="M52" s="29"/>
      <c r="N52" s="29"/>
      <c r="O52" s="29"/>
    </row>
    <row r="53" spans="2:19" ht="32.15" customHeight="1" thickBot="1" x14ac:dyDescent="0.4">
      <c r="B53" s="1130" t="s">
        <v>1134</v>
      </c>
      <c r="C53" s="1131"/>
      <c r="D53" s="1131"/>
      <c r="E53" s="1131"/>
      <c r="F53" s="1131"/>
      <c r="G53" s="1131"/>
      <c r="H53" s="1131"/>
      <c r="I53" s="1131"/>
      <c r="J53" s="1131"/>
      <c r="K53" s="1131"/>
      <c r="L53" s="1131"/>
      <c r="M53" s="1131"/>
      <c r="N53" s="1131"/>
      <c r="O53" s="1342"/>
    </row>
    <row r="54" spans="2:19" ht="139" customHeight="1" thickBot="1" x14ac:dyDescent="0.4">
      <c r="B54" s="1560" t="s">
        <v>1135</v>
      </c>
      <c r="C54" s="1561"/>
      <c r="D54" s="1561"/>
      <c r="E54" s="1561"/>
      <c r="F54" s="1561"/>
      <c r="G54" s="1561"/>
      <c r="H54" s="1561"/>
      <c r="I54" s="1561"/>
      <c r="J54" s="1561"/>
      <c r="K54" s="1561"/>
      <c r="L54" s="1561"/>
      <c r="M54" s="1561"/>
      <c r="N54" s="1561"/>
      <c r="O54" s="1562"/>
      <c r="P54" s="1173" t="s">
        <v>1136</v>
      </c>
      <c r="Q54" s="1173"/>
      <c r="R54" s="1173"/>
      <c r="S54" s="1173"/>
    </row>
    <row r="55" spans="2:19" ht="15.75" customHeight="1" thickBot="1" x14ac:dyDescent="0.4">
      <c r="B55" s="35"/>
      <c r="C55" s="35"/>
      <c r="D55" s="39"/>
      <c r="E55" s="35"/>
      <c r="F55" s="35"/>
      <c r="G55" s="35"/>
      <c r="H55" s="35"/>
      <c r="I55" s="35"/>
      <c r="J55" s="35"/>
      <c r="K55" s="35"/>
      <c r="L55" s="35"/>
      <c r="M55" s="35"/>
      <c r="N55" s="35"/>
      <c r="O55" s="35"/>
    </row>
    <row r="56" spans="2:19" ht="30" customHeight="1" thickBot="1" x14ac:dyDescent="0.4">
      <c r="B56" s="1170" t="s">
        <v>1071</v>
      </c>
      <c r="C56" s="1132"/>
      <c r="D56" s="1132"/>
      <c r="E56" s="1132"/>
      <c r="F56" s="1132"/>
      <c r="G56" s="1132"/>
      <c r="H56" s="1132"/>
      <c r="I56" s="1132"/>
      <c r="J56" s="1132"/>
      <c r="K56" s="1132"/>
      <c r="L56" s="1132"/>
      <c r="M56" s="1132"/>
      <c r="N56" s="1132"/>
      <c r="O56" s="1133"/>
    </row>
    <row r="57" spans="2:19" ht="31.5" customHeight="1" thickBot="1" x14ac:dyDescent="0.4">
      <c r="B57" s="1390" t="s">
        <v>1137</v>
      </c>
      <c r="C57" s="1391"/>
      <c r="D57" s="1391"/>
      <c r="E57" s="1391"/>
      <c r="F57" s="1391"/>
      <c r="G57" s="1391"/>
      <c r="H57" s="1391"/>
      <c r="I57" s="1391"/>
      <c r="J57" s="1391"/>
      <c r="K57" s="1391"/>
      <c r="L57" s="1391"/>
      <c r="M57" s="1391"/>
      <c r="N57" s="1391"/>
      <c r="O57" s="1408"/>
    </row>
    <row r="58" spans="2:19" ht="30.75" customHeight="1" x14ac:dyDescent="0.35">
      <c r="B58" s="1174"/>
      <c r="C58" s="1175"/>
      <c r="D58" s="1175"/>
      <c r="E58" s="1176"/>
      <c r="F58" s="21"/>
      <c r="G58" s="22"/>
      <c r="H58" s="22"/>
      <c r="I58" s="23"/>
      <c r="J58" s="1174"/>
      <c r="K58" s="1175"/>
      <c r="L58" s="1175"/>
      <c r="M58" s="1175"/>
      <c r="N58" s="1175"/>
      <c r="O58" s="1176"/>
    </row>
    <row r="59" spans="2:19" x14ac:dyDescent="0.35">
      <c r="B59" s="1177"/>
      <c r="C59" s="1178"/>
      <c r="D59" s="1178"/>
      <c r="E59" s="1179"/>
      <c r="F59" s="24"/>
      <c r="I59" s="25"/>
      <c r="J59" s="1177"/>
      <c r="K59" s="1178"/>
      <c r="L59" s="1178"/>
      <c r="M59" s="1178"/>
      <c r="N59" s="1178"/>
      <c r="O59" s="1179"/>
    </row>
    <row r="60" spans="2:19" x14ac:dyDescent="0.35">
      <c r="B60" s="1177"/>
      <c r="C60" s="1178"/>
      <c r="D60" s="1178"/>
      <c r="E60" s="1179"/>
      <c r="F60" s="24"/>
      <c r="I60" s="25"/>
      <c r="J60" s="1177"/>
      <c r="K60" s="1178"/>
      <c r="L60" s="1178"/>
      <c r="M60" s="1178"/>
      <c r="N60" s="1178"/>
      <c r="O60" s="1179"/>
    </row>
    <row r="61" spans="2:19" x14ac:dyDescent="0.35">
      <c r="B61" s="1177"/>
      <c r="C61" s="1178"/>
      <c r="D61" s="1178"/>
      <c r="E61" s="1179"/>
      <c r="F61" s="24"/>
      <c r="I61" s="25"/>
      <c r="J61" s="1177"/>
      <c r="K61" s="1178"/>
      <c r="L61" s="1178"/>
      <c r="M61" s="1178"/>
      <c r="N61" s="1178"/>
      <c r="O61" s="1179"/>
    </row>
    <row r="62" spans="2:19" x14ac:dyDescent="0.35">
      <c r="B62" s="1177"/>
      <c r="C62" s="1178"/>
      <c r="D62" s="1178"/>
      <c r="E62" s="1179"/>
      <c r="F62" s="24"/>
      <c r="I62" s="25"/>
      <c r="J62" s="1177"/>
      <c r="K62" s="1178"/>
      <c r="L62" s="1178"/>
      <c r="M62" s="1178"/>
      <c r="N62" s="1178"/>
      <c r="O62" s="1179"/>
    </row>
    <row r="63" spans="2:19" ht="21.5" thickBot="1" x14ac:dyDescent="0.4">
      <c r="B63" s="1177"/>
      <c r="C63" s="1178"/>
      <c r="D63" s="1178"/>
      <c r="E63" s="1179"/>
      <c r="F63" s="26"/>
      <c r="G63" s="27"/>
      <c r="H63" s="27"/>
      <c r="I63" s="28"/>
      <c r="J63" s="1180"/>
      <c r="K63" s="1181"/>
      <c r="L63" s="1181"/>
      <c r="M63" s="1181"/>
      <c r="N63" s="1181"/>
      <c r="O63" s="1182"/>
    </row>
    <row r="64" spans="2:19" ht="25.5" customHeight="1" thickBot="1" x14ac:dyDescent="0.4">
      <c r="B64" s="161" t="s">
        <v>910</v>
      </c>
      <c r="C64" s="152">
        <f>+'2. Plan de Trabajo (Ext)'!D27</f>
        <v>0</v>
      </c>
      <c r="D64" s="162"/>
      <c r="E64" s="153"/>
      <c r="F64" s="162" t="s">
        <v>910</v>
      </c>
      <c r="G64" s="129"/>
      <c r="H64" s="129"/>
      <c r="I64" s="130"/>
      <c r="J64" s="12" t="s">
        <v>910</v>
      </c>
      <c r="K64" s="129"/>
      <c r="L64" s="807"/>
      <c r="M64" s="807"/>
      <c r="N64" s="807"/>
      <c r="O64" s="808"/>
    </row>
    <row r="65" spans="2:15" ht="35.25" customHeight="1" thickBot="1" x14ac:dyDescent="0.4">
      <c r="B65" s="1351" t="s">
        <v>1138</v>
      </c>
      <c r="C65" s="1352"/>
      <c r="D65" s="1352"/>
      <c r="E65" s="1624"/>
      <c r="F65" s="1437" t="s">
        <v>1028</v>
      </c>
      <c r="G65" s="1438"/>
      <c r="H65" s="1438"/>
      <c r="I65" s="1439"/>
      <c r="J65" s="739" t="s">
        <v>1139</v>
      </c>
      <c r="L65" s="1628" t="s">
        <v>1140</v>
      </c>
      <c r="M65" s="1629"/>
      <c r="O65" s="740"/>
    </row>
    <row r="66" spans="2:15" ht="19.5" customHeight="1" x14ac:dyDescent="0.35">
      <c r="B66" s="1613" t="s">
        <v>1141</v>
      </c>
      <c r="C66" s="1613"/>
      <c r="D66" s="1613"/>
      <c r="E66" s="1613"/>
      <c r="F66" s="1613"/>
      <c r="G66" s="1613"/>
      <c r="H66" s="1613"/>
      <c r="I66" s="1613"/>
      <c r="J66" s="1613"/>
      <c r="K66" s="1613"/>
      <c r="L66" s="1613"/>
      <c r="M66" s="1613"/>
      <c r="N66" s="1613"/>
      <c r="O66" s="1613"/>
    </row>
    <row r="67" spans="2:15" x14ac:dyDescent="0.35">
      <c r="B67" s="1614"/>
      <c r="C67" s="1614"/>
      <c r="D67" s="1614"/>
      <c r="E67" s="1614"/>
      <c r="F67" s="1614"/>
      <c r="G67" s="1614"/>
      <c r="H67" s="1614"/>
      <c r="I67" s="1614"/>
      <c r="J67" s="1614"/>
      <c r="K67" s="1614"/>
      <c r="L67" s="1614"/>
      <c r="M67" s="1614"/>
      <c r="N67" s="1614"/>
      <c r="O67" s="1614"/>
    </row>
  </sheetData>
  <protectedRanges>
    <protectedRange sqref="J64 L39:O64 B23:O38 J39:K63 B39:I64" name="Rango1"/>
  </protectedRanges>
  <mergeCells count="95">
    <mergeCell ref="B66:O67"/>
    <mergeCell ref="F65:I65"/>
    <mergeCell ref="B38:G38"/>
    <mergeCell ref="H38:O38"/>
    <mergeCell ref="B41:O42"/>
    <mergeCell ref="B40:O40"/>
    <mergeCell ref="B65:E65"/>
    <mergeCell ref="M46:O46"/>
    <mergeCell ref="M49:O49"/>
    <mergeCell ref="B58:E63"/>
    <mergeCell ref="J58:O63"/>
    <mergeCell ref="L65:M65"/>
    <mergeCell ref="B39:G39"/>
    <mergeCell ref="H39:O39"/>
    <mergeCell ref="B45:O45"/>
    <mergeCell ref="B44:O44"/>
    <mergeCell ref="L13:O13"/>
    <mergeCell ref="B14:C14"/>
    <mergeCell ref="D14:H14"/>
    <mergeCell ref="H36:O36"/>
    <mergeCell ref="B32:G32"/>
    <mergeCell ref="H32:O32"/>
    <mergeCell ref="B31:G31"/>
    <mergeCell ref="H31:O31"/>
    <mergeCell ref="B29:O29"/>
    <mergeCell ref="B27:D27"/>
    <mergeCell ref="E27:H27"/>
    <mergeCell ref="I27:K27"/>
    <mergeCell ref="L27:O27"/>
    <mergeCell ref="B33:G33"/>
    <mergeCell ref="H33:O33"/>
    <mergeCell ref="B13:C13"/>
    <mergeCell ref="D13:H13"/>
    <mergeCell ref="I13:K13"/>
    <mergeCell ref="B15:C15"/>
    <mergeCell ref="E25:H25"/>
    <mergeCell ref="B18:C18"/>
    <mergeCell ref="I18:K18"/>
    <mergeCell ref="I22:K22"/>
    <mergeCell ref="E17:H17"/>
    <mergeCell ref="A1:O1"/>
    <mergeCell ref="B16:C16"/>
    <mergeCell ref="D16:O16"/>
    <mergeCell ref="B20:O20"/>
    <mergeCell ref="L25:O25"/>
    <mergeCell ref="D18:H18"/>
    <mergeCell ref="E24:H24"/>
    <mergeCell ref="I24:K24"/>
    <mergeCell ref="L24:O24"/>
    <mergeCell ref="B24:D24"/>
    <mergeCell ref="B22:D22"/>
    <mergeCell ref="E22:H22"/>
    <mergeCell ref="B17:C17"/>
    <mergeCell ref="I25:K25"/>
    <mergeCell ref="I14:K14"/>
    <mergeCell ref="L14:O14"/>
    <mergeCell ref="L18:O18"/>
    <mergeCell ref="B25:D25"/>
    <mergeCell ref="B7:O7"/>
    <mergeCell ref="B10:O10"/>
    <mergeCell ref="B12:C12"/>
    <mergeCell ref="D12:H12"/>
    <mergeCell ref="I12:K12"/>
    <mergeCell ref="L12:O12"/>
    <mergeCell ref="N9:O9"/>
    <mergeCell ref="B11:O11"/>
    <mergeCell ref="L22:O22"/>
    <mergeCell ref="B23:D23"/>
    <mergeCell ref="E23:H23"/>
    <mergeCell ref="I23:K23"/>
    <mergeCell ref="L23:O23"/>
    <mergeCell ref="I15:K15"/>
    <mergeCell ref="P54:S54"/>
    <mergeCell ref="B56:O56"/>
    <mergeCell ref="B57:O57"/>
    <mergeCell ref="B53:O53"/>
    <mergeCell ref="M47:O47"/>
    <mergeCell ref="M48:O48"/>
    <mergeCell ref="B54:O54"/>
    <mergeCell ref="M50:O50"/>
    <mergeCell ref="M51:O51"/>
    <mergeCell ref="P47:S47"/>
    <mergeCell ref="P48:S48"/>
    <mergeCell ref="H37:O37"/>
    <mergeCell ref="L26:O26"/>
    <mergeCell ref="B30:O30"/>
    <mergeCell ref="B36:G36"/>
    <mergeCell ref="H34:O34"/>
    <mergeCell ref="B35:G35"/>
    <mergeCell ref="H35:O35"/>
    <mergeCell ref="B34:G34"/>
    <mergeCell ref="B26:D26"/>
    <mergeCell ref="E26:H26"/>
    <mergeCell ref="I26:K26"/>
    <mergeCell ref="B37:G37"/>
  </mergeCells>
  <conditionalFormatting sqref="L9:M9 L3:M7">
    <cfRule type="dataBar" priority="1">
      <dataBar>
        <cfvo type="min"/>
        <cfvo type="max"/>
        <color rgb="FF638EC6"/>
      </dataBar>
      <extLst>
        <ext xmlns:x14="http://schemas.microsoft.com/office/spreadsheetml/2009/9/main" uri="{B025F937-C7B1-47D3-B67F-A62EFF666E3E}">
          <x14:id>{447A8A41-E2DC-4730-8DB6-96C612614C38}</x14:id>
        </ext>
      </extLst>
    </cfRule>
  </conditionalFormatting>
  <pageMargins left="0.23622047244094491" right="0.23622047244094491" top="0.74803149606299213" bottom="0.74803149606299213" header="0.31496062992125984" footer="0.31496062992125984"/>
  <pageSetup scale="35" fitToHeight="0" orientation="portrait" horizontalDpi="1200" verticalDpi="1200" r:id="rId1"/>
  <headerFooter>
    <oddFooter>Página &amp;P</oddFooter>
  </headerFooter>
  <rowBreaks count="3" manualBreakCount="3">
    <brk id="39" min="1" max="14" man="1"/>
    <brk id="51" min="1" max="14" man="1"/>
    <brk id="68" min="1" max="14" man="1"/>
  </rowBreaks>
  <drawing r:id="rId2"/>
  <extLst>
    <ext xmlns:x14="http://schemas.microsoft.com/office/spreadsheetml/2009/9/main" uri="{78C0D931-6437-407d-A8EE-F0AAD7539E65}">
      <x14:conditionalFormattings>
        <x14:conditionalFormatting xmlns:xm="http://schemas.microsoft.com/office/excel/2006/main">
          <x14:cfRule type="dataBar" id="{447A8A41-E2DC-4730-8DB6-96C612614C38}">
            <x14:dataBar minLength="0" maxLength="100" border="1" negativeBarBorderColorSameAsPositive="0">
              <x14:cfvo type="autoMin"/>
              <x14:cfvo type="autoMax"/>
              <x14:borderColor rgb="FF638EC6"/>
              <x14:negativeFillColor rgb="FFFF0000"/>
              <x14:negativeBorderColor rgb="FFFF0000"/>
              <x14:axisColor rgb="FF000000"/>
            </x14:dataBar>
          </x14:cfRule>
          <xm:sqref>L9:M9 L3:M7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E4242A-DCAE-4B9B-8F1C-801C2E83042B}">
          <x14:formula1>
            <xm:f>Hoja1!$A$1:$A$2</xm:f>
          </x14:formula1>
          <xm:sqref>L47:L51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FF576-38A8-4DEA-834D-F2E89E23F36F}">
  <sheetPr filterMode="1"/>
  <dimension ref="A1:Z81"/>
  <sheetViews>
    <sheetView topLeftCell="A14" zoomScale="85" zoomScaleNormal="85" workbookViewId="0">
      <selection activeCell="A17" sqref="A17:XFD26"/>
    </sheetView>
  </sheetViews>
  <sheetFormatPr baseColWidth="10" defaultColWidth="11.453125" defaultRowHeight="14.5" x14ac:dyDescent="0.35"/>
  <cols>
    <col min="1" max="1" width="21.26953125" style="1" customWidth="1"/>
    <col min="2" max="2" width="23.7265625" customWidth="1"/>
    <col min="3" max="5" width="16.81640625" customWidth="1"/>
    <col min="6" max="8" width="23.54296875" customWidth="1"/>
    <col min="9" max="11" width="16.81640625" customWidth="1"/>
    <col min="13" max="13" width="22.7265625" customWidth="1"/>
    <col min="14" max="15" width="22.54296875" customWidth="1"/>
    <col min="23" max="23" width="40.81640625" customWidth="1"/>
  </cols>
  <sheetData>
    <row r="1" spans="1:26" hidden="1" x14ac:dyDescent="0.35"/>
    <row r="2" spans="1:26" s="2" customFormat="1" hidden="1" x14ac:dyDescent="0.35">
      <c r="A2" s="71">
        <v>1</v>
      </c>
      <c r="B2" s="72">
        <v>2</v>
      </c>
      <c r="C2" s="72">
        <f>+B2+1</f>
        <v>3</v>
      </c>
      <c r="D2" s="72">
        <f>+C2+1</f>
        <v>4</v>
      </c>
      <c r="E2" s="72">
        <f>+D2+1</f>
        <v>5</v>
      </c>
      <c r="F2" s="72">
        <f>+E2+1</f>
        <v>6</v>
      </c>
      <c r="G2" s="72"/>
      <c r="H2" s="72"/>
      <c r="I2" s="72">
        <f>+F2+1</f>
        <v>7</v>
      </c>
      <c r="J2" s="72">
        <f>+I2+1</f>
        <v>8</v>
      </c>
      <c r="K2" s="72">
        <f>+J2+1</f>
        <v>9</v>
      </c>
      <c r="L2" s="72">
        <f>+K2+1</f>
        <v>10</v>
      </c>
      <c r="M2" s="72">
        <f>+L2+1</f>
        <v>11</v>
      </c>
      <c r="N2" s="72"/>
      <c r="O2" s="72"/>
      <c r="P2" s="72"/>
    </row>
    <row r="3" spans="1:26" s="2" customFormat="1" ht="31" x14ac:dyDescent="0.7">
      <c r="A3" s="112" t="s">
        <v>1142</v>
      </c>
      <c r="B3" s="72"/>
      <c r="C3" s="72"/>
      <c r="D3" s="72"/>
      <c r="E3" s="72"/>
      <c r="F3" s="72"/>
      <c r="G3" s="72"/>
      <c r="H3" s="72"/>
      <c r="I3" s="72"/>
      <c r="J3" s="72"/>
      <c r="K3" s="72"/>
      <c r="L3" s="72"/>
      <c r="M3" s="72"/>
      <c r="N3" s="72"/>
      <c r="O3" s="72"/>
      <c r="P3" s="72"/>
    </row>
    <row r="4" spans="1:26" s="2" customFormat="1" ht="11.15" customHeight="1" x14ac:dyDescent="0.35">
      <c r="A4" s="171">
        <v>1</v>
      </c>
      <c r="B4" s="172">
        <v>2</v>
      </c>
      <c r="C4" s="171">
        <v>3</v>
      </c>
      <c r="D4" s="172">
        <v>4</v>
      </c>
      <c r="E4" s="171">
        <v>5</v>
      </c>
      <c r="F4" s="172">
        <v>6</v>
      </c>
      <c r="G4" s="171">
        <f t="shared" ref="G4:V4" si="0">+F4+1</f>
        <v>7</v>
      </c>
      <c r="H4" s="171">
        <f t="shared" si="0"/>
        <v>8</v>
      </c>
      <c r="I4" s="171">
        <f t="shared" si="0"/>
        <v>9</v>
      </c>
      <c r="J4" s="171">
        <f t="shared" si="0"/>
        <v>10</v>
      </c>
      <c r="K4" s="171">
        <f t="shared" si="0"/>
        <v>11</v>
      </c>
      <c r="L4" s="171">
        <f t="shared" si="0"/>
        <v>12</v>
      </c>
      <c r="M4" s="171">
        <f t="shared" si="0"/>
        <v>13</v>
      </c>
      <c r="N4" s="171">
        <f t="shared" si="0"/>
        <v>14</v>
      </c>
      <c r="O4" s="171">
        <f t="shared" si="0"/>
        <v>15</v>
      </c>
      <c r="P4" s="171">
        <f t="shared" si="0"/>
        <v>16</v>
      </c>
      <c r="Q4" s="171">
        <f t="shared" si="0"/>
        <v>17</v>
      </c>
      <c r="R4" s="171">
        <f t="shared" si="0"/>
        <v>18</v>
      </c>
      <c r="S4" s="171">
        <f t="shared" si="0"/>
        <v>19</v>
      </c>
      <c r="T4" s="171">
        <f t="shared" si="0"/>
        <v>20</v>
      </c>
      <c r="U4" s="171">
        <f t="shared" si="0"/>
        <v>21</v>
      </c>
      <c r="V4" s="171">
        <f t="shared" si="0"/>
        <v>22</v>
      </c>
    </row>
    <row r="5" spans="1:26" ht="29" x14ac:dyDescent="0.35">
      <c r="A5" s="73" t="s">
        <v>1143</v>
      </c>
      <c r="B5" s="74" t="s">
        <v>1144</v>
      </c>
      <c r="C5" s="74" t="s">
        <v>1145</v>
      </c>
      <c r="D5" s="74" t="s">
        <v>1146</v>
      </c>
      <c r="E5" s="74" t="s">
        <v>1003</v>
      </c>
      <c r="F5" s="74" t="s">
        <v>1147</v>
      </c>
      <c r="G5" s="74" t="s">
        <v>1148</v>
      </c>
      <c r="H5" s="74" t="s">
        <v>1149</v>
      </c>
      <c r="I5" s="74" t="s">
        <v>1150</v>
      </c>
      <c r="J5" s="74" t="s">
        <v>1145</v>
      </c>
      <c r="K5" s="74" t="s">
        <v>1151</v>
      </c>
      <c r="L5" s="82" t="s">
        <v>1003</v>
      </c>
      <c r="M5" s="74" t="s">
        <v>1147</v>
      </c>
      <c r="N5" s="74" t="s">
        <v>1148</v>
      </c>
      <c r="O5" s="74" t="s">
        <v>1149</v>
      </c>
      <c r="P5" s="883" t="s">
        <v>1152</v>
      </c>
      <c r="Q5" s="103" t="s">
        <v>1145</v>
      </c>
      <c r="R5" s="103" t="s">
        <v>1151</v>
      </c>
      <c r="S5" s="82" t="s">
        <v>1003</v>
      </c>
      <c r="T5" s="103" t="s">
        <v>1147</v>
      </c>
      <c r="U5" s="103" t="s">
        <v>1148</v>
      </c>
      <c r="V5" s="74" t="s">
        <v>1149</v>
      </c>
      <c r="W5" s="832" t="s">
        <v>1153</v>
      </c>
      <c r="X5" s="1"/>
      <c r="Y5" s="1"/>
      <c r="Z5" s="1"/>
    </row>
    <row r="6" spans="1:26" ht="43.5" customHeight="1" x14ac:dyDescent="0.35">
      <c r="A6" s="73" t="s">
        <v>739</v>
      </c>
      <c r="B6" s="76" t="s">
        <v>1154</v>
      </c>
      <c r="C6" s="77" t="s">
        <v>1155</v>
      </c>
      <c r="D6" s="77" t="s">
        <v>1156</v>
      </c>
      <c r="E6" s="77" t="s">
        <v>1157</v>
      </c>
      <c r="F6" s="77" t="s">
        <v>1158</v>
      </c>
      <c r="G6" s="77" t="s">
        <v>1159</v>
      </c>
      <c r="H6" s="77" t="s">
        <v>1160</v>
      </c>
      <c r="I6" s="76" t="s">
        <v>1161</v>
      </c>
      <c r="J6" s="77" t="s">
        <v>1162</v>
      </c>
      <c r="K6" s="77" t="s">
        <v>1163</v>
      </c>
      <c r="L6" s="77" t="s">
        <v>1164</v>
      </c>
      <c r="M6" s="79" t="s">
        <v>1165</v>
      </c>
      <c r="N6" s="77" t="s">
        <v>1166</v>
      </c>
      <c r="O6" s="77" t="s">
        <v>1160</v>
      </c>
      <c r="W6" s="170" t="s">
        <v>1167</v>
      </c>
    </row>
    <row r="7" spans="1:26" ht="43.5" customHeight="1" x14ac:dyDescent="0.35">
      <c r="A7" s="73" t="s">
        <v>741</v>
      </c>
      <c r="B7" s="76" t="s">
        <v>1168</v>
      </c>
      <c r="C7" s="80" t="s">
        <v>1169</v>
      </c>
      <c r="D7" s="80" t="s">
        <v>1170</v>
      </c>
      <c r="E7" s="77" t="s">
        <v>1171</v>
      </c>
      <c r="F7" s="77" t="s">
        <v>1172</v>
      </c>
      <c r="G7" s="77" t="s">
        <v>1173</v>
      </c>
      <c r="H7" s="77" t="s">
        <v>1174</v>
      </c>
      <c r="I7" s="76" t="s">
        <v>1175</v>
      </c>
      <c r="J7" s="80" t="s">
        <v>1176</v>
      </c>
      <c r="K7" s="80" t="s">
        <v>1177</v>
      </c>
      <c r="L7" s="77" t="s">
        <v>1164</v>
      </c>
      <c r="M7" s="77"/>
      <c r="N7" s="81"/>
      <c r="O7" s="77" t="s">
        <v>1174</v>
      </c>
      <c r="P7" s="83"/>
    </row>
    <row r="8" spans="1:26" ht="43.5" customHeight="1" x14ac:dyDescent="0.35">
      <c r="A8" s="73" t="s">
        <v>211</v>
      </c>
      <c r="B8" s="76" t="s">
        <v>1178</v>
      </c>
      <c r="C8" s="80" t="s">
        <v>1179</v>
      </c>
      <c r="D8" s="80" t="s">
        <v>1180</v>
      </c>
      <c r="E8" s="80" t="s">
        <v>1181</v>
      </c>
      <c r="F8" s="77" t="s">
        <v>1182</v>
      </c>
      <c r="G8" s="77" t="s">
        <v>1183</v>
      </c>
      <c r="H8" s="77" t="s">
        <v>1174</v>
      </c>
      <c r="I8" s="76" t="s">
        <v>1184</v>
      </c>
      <c r="J8" s="80"/>
      <c r="K8" s="80" t="s">
        <v>1185</v>
      </c>
      <c r="L8" s="80" t="s">
        <v>1186</v>
      </c>
      <c r="M8" s="77" t="s">
        <v>1187</v>
      </c>
      <c r="N8" s="85" t="s">
        <v>1188</v>
      </c>
      <c r="O8" s="77" t="s">
        <v>1160</v>
      </c>
      <c r="P8" s="75"/>
    </row>
    <row r="9" spans="1:26" ht="43.5" customHeight="1" x14ac:dyDescent="0.35">
      <c r="A9" s="73" t="s">
        <v>754</v>
      </c>
      <c r="B9" s="76" t="s">
        <v>1189</v>
      </c>
      <c r="C9" s="80" t="s">
        <v>1190</v>
      </c>
      <c r="D9" s="80" t="s">
        <v>1191</v>
      </c>
      <c r="E9" s="80" t="s">
        <v>1192</v>
      </c>
      <c r="F9" s="77" t="s">
        <v>1193</v>
      </c>
      <c r="G9" s="77" t="s">
        <v>1194</v>
      </c>
      <c r="H9" s="77" t="s">
        <v>1174</v>
      </c>
      <c r="I9" s="76" t="s">
        <v>1195</v>
      </c>
      <c r="J9" s="80" t="s">
        <v>1196</v>
      </c>
      <c r="K9" s="80" t="s">
        <v>1197</v>
      </c>
      <c r="L9" s="80" t="s">
        <v>1192</v>
      </c>
      <c r="M9" s="77" t="s">
        <v>1198</v>
      </c>
      <c r="N9" s="77" t="s">
        <v>1199</v>
      </c>
      <c r="O9" s="77" t="s">
        <v>1174</v>
      </c>
      <c r="P9" s="884" t="s">
        <v>1200</v>
      </c>
      <c r="Q9" s="80" t="s">
        <v>1201</v>
      </c>
      <c r="R9" s="80" t="s">
        <v>1202</v>
      </c>
      <c r="S9" s="80" t="s">
        <v>1203</v>
      </c>
      <c r="T9" s="77" t="s">
        <v>1204</v>
      </c>
      <c r="U9" s="77" t="s">
        <v>1205</v>
      </c>
      <c r="V9" s="77" t="s">
        <v>1174</v>
      </c>
    </row>
    <row r="10" spans="1:26" ht="43.5" customHeight="1" x14ac:dyDescent="0.35">
      <c r="A10" s="73" t="s">
        <v>756</v>
      </c>
      <c r="B10" s="76" t="s">
        <v>1206</v>
      </c>
      <c r="C10" s="80" t="s">
        <v>1207</v>
      </c>
      <c r="D10" s="80" t="s">
        <v>1208</v>
      </c>
      <c r="E10" s="80" t="s">
        <v>1209</v>
      </c>
      <c r="F10" s="170" t="s">
        <v>1210</v>
      </c>
      <c r="G10" s="818" t="s">
        <v>1211</v>
      </c>
      <c r="H10" s="77" t="s">
        <v>1160</v>
      </c>
      <c r="I10" s="76" t="s">
        <v>1212</v>
      </c>
      <c r="J10" s="80" t="s">
        <v>1213</v>
      </c>
      <c r="K10" s="80" t="s">
        <v>1214</v>
      </c>
      <c r="L10" s="80" t="s">
        <v>1021</v>
      </c>
      <c r="M10" s="77" t="s">
        <v>1215</v>
      </c>
      <c r="N10" s="819" t="s">
        <v>1216</v>
      </c>
      <c r="O10" s="77" t="s">
        <v>1174</v>
      </c>
      <c r="P10" s="75"/>
    </row>
    <row r="11" spans="1:26" ht="43.5" customHeight="1" x14ac:dyDescent="0.35">
      <c r="A11" s="73" t="s">
        <v>1217</v>
      </c>
      <c r="B11" s="76" t="s">
        <v>1218</v>
      </c>
      <c r="C11" s="80" t="s">
        <v>1219</v>
      </c>
      <c r="D11" s="80" t="s">
        <v>1220</v>
      </c>
      <c r="E11" s="80" t="s">
        <v>1221</v>
      </c>
      <c r="F11" s="77" t="s">
        <v>1222</v>
      </c>
      <c r="G11" s="77" t="s">
        <v>1223</v>
      </c>
      <c r="H11" s="77" t="s">
        <v>1174</v>
      </c>
      <c r="I11" s="76" t="s">
        <v>1224</v>
      </c>
      <c r="J11" s="80" t="s">
        <v>1225</v>
      </c>
      <c r="K11" s="80" t="s">
        <v>1226</v>
      </c>
      <c r="L11" s="80" t="s">
        <v>1227</v>
      </c>
      <c r="M11" s="77" t="s">
        <v>1228</v>
      </c>
      <c r="N11" s="79" t="s">
        <v>1229</v>
      </c>
      <c r="O11" s="77" t="s">
        <v>1174</v>
      </c>
      <c r="P11" s="76" t="s">
        <v>1230</v>
      </c>
      <c r="Q11" s="885" t="s">
        <v>1231</v>
      </c>
      <c r="R11" s="885" t="s">
        <v>1232</v>
      </c>
      <c r="S11" s="882" t="s">
        <v>1233</v>
      </c>
      <c r="T11" s="885" t="s">
        <v>1234</v>
      </c>
      <c r="U11" s="885" t="s">
        <v>1235</v>
      </c>
      <c r="V11" s="77" t="s">
        <v>1174</v>
      </c>
    </row>
    <row r="12" spans="1:26" ht="43.5" customHeight="1" x14ac:dyDescent="0.35">
      <c r="A12" s="73" t="s">
        <v>1236</v>
      </c>
      <c r="B12" s="76" t="s">
        <v>1237</v>
      </c>
      <c r="C12" s="80" t="s">
        <v>1238</v>
      </c>
      <c r="D12" s="80" t="s">
        <v>1239</v>
      </c>
      <c r="E12" s="80" t="s">
        <v>1240</v>
      </c>
      <c r="F12" s="77" t="s">
        <v>1241</v>
      </c>
      <c r="G12" s="77" t="s">
        <v>1242</v>
      </c>
      <c r="H12" s="77" t="s">
        <v>1174</v>
      </c>
      <c r="I12" s="76" t="s">
        <v>1243</v>
      </c>
      <c r="J12" s="80" t="s">
        <v>1244</v>
      </c>
      <c r="K12" s="80" t="s">
        <v>1245</v>
      </c>
      <c r="L12" s="80" t="s">
        <v>1246</v>
      </c>
      <c r="M12" s="77" t="s">
        <v>1247</v>
      </c>
      <c r="N12" s="78" t="s">
        <v>1248</v>
      </c>
      <c r="O12" s="77" t="s">
        <v>1160</v>
      </c>
      <c r="P12" s="886" t="s">
        <v>1249</v>
      </c>
      <c r="Q12" s="882" t="s">
        <v>1250</v>
      </c>
      <c r="R12" s="882" t="s">
        <v>1251</v>
      </c>
      <c r="S12" s="882" t="s">
        <v>1252</v>
      </c>
      <c r="T12" s="882" t="s">
        <v>1253</v>
      </c>
      <c r="U12" s="882" t="s">
        <v>1254</v>
      </c>
      <c r="V12" s="77" t="s">
        <v>1174</v>
      </c>
    </row>
    <row r="13" spans="1:26" ht="43.5" customHeight="1" x14ac:dyDescent="0.35">
      <c r="A13" s="73" t="s">
        <v>1255</v>
      </c>
      <c r="B13" s="76" t="s">
        <v>1256</v>
      </c>
      <c r="C13" s="816" t="s">
        <v>1257</v>
      </c>
      <c r="D13" s="80" t="s">
        <v>1258</v>
      </c>
      <c r="E13" s="80" t="s">
        <v>1021</v>
      </c>
      <c r="F13" s="77" t="s">
        <v>1259</v>
      </c>
      <c r="G13" s="817" t="s">
        <v>1260</v>
      </c>
      <c r="H13" s="77" t="s">
        <v>1174</v>
      </c>
      <c r="I13" s="76" t="s">
        <v>1261</v>
      </c>
      <c r="J13" s="80" t="s">
        <v>1262</v>
      </c>
      <c r="K13" s="80" t="s">
        <v>1263</v>
      </c>
      <c r="L13" s="80" t="s">
        <v>1021</v>
      </c>
      <c r="M13" s="77" t="s">
        <v>1264</v>
      </c>
      <c r="N13" s="816" t="s">
        <v>1265</v>
      </c>
      <c r="O13" s="77" t="s">
        <v>1160</v>
      </c>
      <c r="P13" s="75"/>
    </row>
    <row r="14" spans="1:26" ht="150" customHeight="1" x14ac:dyDescent="0.35">
      <c r="A14" s="73" t="s">
        <v>764</v>
      </c>
      <c r="B14" s="76" t="s">
        <v>1266</v>
      </c>
      <c r="C14" s="80" t="s">
        <v>1267</v>
      </c>
      <c r="D14" s="80" t="s">
        <v>1268</v>
      </c>
      <c r="E14" s="80" t="s">
        <v>1269</v>
      </c>
      <c r="F14" s="77" t="s">
        <v>1270</v>
      </c>
      <c r="G14" s="77" t="s">
        <v>1271</v>
      </c>
      <c r="H14" s="77" t="s">
        <v>1174</v>
      </c>
      <c r="I14" s="76" t="s">
        <v>1272</v>
      </c>
      <c r="J14" s="80" t="s">
        <v>1273</v>
      </c>
      <c r="K14" s="80" t="s">
        <v>1274</v>
      </c>
      <c r="L14" s="80" t="s">
        <v>1275</v>
      </c>
      <c r="M14" s="77" t="s">
        <v>1276</v>
      </c>
      <c r="N14" s="77" t="s">
        <v>1277</v>
      </c>
      <c r="O14" s="77" t="s">
        <v>1174</v>
      </c>
      <c r="P14" s="75"/>
    </row>
    <row r="15" spans="1:26" x14ac:dyDescent="0.35">
      <c r="A15"/>
    </row>
    <row r="16" spans="1:26" ht="28.5" x14ac:dyDescent="0.65">
      <c r="A16" s="89" t="s">
        <v>1278</v>
      </c>
    </row>
    <row r="17" spans="1:11" x14ac:dyDescent="0.35">
      <c r="A17" s="61" t="s">
        <v>1143</v>
      </c>
      <c r="B17" s="59" t="s">
        <v>1279</v>
      </c>
      <c r="C17" s="60" t="s">
        <v>1145</v>
      </c>
      <c r="D17" s="60" t="s">
        <v>1146</v>
      </c>
      <c r="E17" s="60" t="s">
        <v>1003</v>
      </c>
      <c r="F17" s="60" t="s">
        <v>1147</v>
      </c>
      <c r="G17" s="60" t="s">
        <v>1148</v>
      </c>
      <c r="H17" s="14"/>
    </row>
    <row r="18" spans="1:11" ht="31.5" x14ac:dyDescent="0.35">
      <c r="A18" s="61" t="s">
        <v>739</v>
      </c>
      <c r="B18" s="64" t="s">
        <v>1280</v>
      </c>
      <c r="C18" s="64" t="s">
        <v>1281</v>
      </c>
      <c r="D18" s="64" t="s">
        <v>1282</v>
      </c>
      <c r="E18" s="64" t="s">
        <v>1283</v>
      </c>
      <c r="F18" s="64" t="s">
        <v>1284</v>
      </c>
      <c r="G18" s="65" t="s">
        <v>1285</v>
      </c>
      <c r="H18" s="67"/>
    </row>
    <row r="19" spans="1:11" ht="73.5" x14ac:dyDescent="0.35">
      <c r="A19" s="61" t="s">
        <v>739</v>
      </c>
      <c r="B19" s="66" t="s">
        <v>1286</v>
      </c>
      <c r="C19" s="66" t="s">
        <v>1287</v>
      </c>
      <c r="D19" s="66" t="s">
        <v>1288</v>
      </c>
      <c r="E19" s="66" t="s">
        <v>1289</v>
      </c>
      <c r="F19" s="66" t="s">
        <v>1290</v>
      </c>
      <c r="G19" s="67" t="s">
        <v>1291</v>
      </c>
      <c r="H19" s="67"/>
      <c r="K19" s="700"/>
    </row>
    <row r="20" spans="1:11" ht="21" x14ac:dyDescent="0.35">
      <c r="A20" s="61" t="s">
        <v>739</v>
      </c>
      <c r="B20" s="68" t="s">
        <v>1292</v>
      </c>
      <c r="C20" s="68" t="s">
        <v>1293</v>
      </c>
      <c r="D20" s="69" t="s">
        <v>1294</v>
      </c>
      <c r="E20" s="68" t="s">
        <v>1295</v>
      </c>
      <c r="F20" s="68" t="s">
        <v>1296</v>
      </c>
      <c r="G20" s="70" t="s">
        <v>1297</v>
      </c>
      <c r="H20" s="67"/>
      <c r="J20" s="831"/>
      <c r="K20" s="831"/>
    </row>
    <row r="21" spans="1:11" ht="21" x14ac:dyDescent="0.35">
      <c r="A21" s="61" t="s">
        <v>739</v>
      </c>
      <c r="B21" s="66" t="s">
        <v>1298</v>
      </c>
      <c r="C21" s="66" t="s">
        <v>1299</v>
      </c>
      <c r="D21" s="66" t="s">
        <v>1300</v>
      </c>
      <c r="E21" s="66" t="s">
        <v>1283</v>
      </c>
      <c r="F21" s="66" t="s">
        <v>1301</v>
      </c>
      <c r="G21" s="67" t="s">
        <v>1302</v>
      </c>
      <c r="H21" s="67"/>
      <c r="J21" s="700"/>
    </row>
    <row r="22" spans="1:11" ht="21" x14ac:dyDescent="0.35">
      <c r="A22" s="61" t="s">
        <v>739</v>
      </c>
      <c r="B22" s="64" t="s">
        <v>1303</v>
      </c>
      <c r="C22" s="64" t="s">
        <v>1304</v>
      </c>
      <c r="D22" s="64" t="s">
        <v>1305</v>
      </c>
      <c r="E22" s="64" t="s">
        <v>1306</v>
      </c>
      <c r="F22" s="64" t="s">
        <v>1307</v>
      </c>
      <c r="G22" s="65" t="s">
        <v>1308</v>
      </c>
      <c r="H22" s="67"/>
      <c r="J22" s="700"/>
    </row>
    <row r="23" spans="1:11" ht="42" x14ac:dyDescent="0.35">
      <c r="A23" s="61" t="s">
        <v>739</v>
      </c>
      <c r="B23" s="66" t="s">
        <v>1309</v>
      </c>
      <c r="C23" s="66" t="s">
        <v>1310</v>
      </c>
      <c r="D23" s="66" t="s">
        <v>1311</v>
      </c>
      <c r="E23" s="66" t="s">
        <v>1157</v>
      </c>
      <c r="F23" s="66" t="s">
        <v>1312</v>
      </c>
      <c r="G23" s="67" t="s">
        <v>1313</v>
      </c>
      <c r="H23" s="67"/>
    </row>
    <row r="24" spans="1:11" ht="21" x14ac:dyDescent="0.35">
      <c r="A24" s="61" t="s">
        <v>739</v>
      </c>
      <c r="B24" s="64" t="s">
        <v>1314</v>
      </c>
      <c r="C24" s="64" t="s">
        <v>1315</v>
      </c>
      <c r="D24" s="64" t="s">
        <v>1316</v>
      </c>
      <c r="E24" s="64" t="s">
        <v>1283</v>
      </c>
      <c r="F24" s="64" t="s">
        <v>1317</v>
      </c>
      <c r="G24" s="65" t="s">
        <v>1318</v>
      </c>
      <c r="H24" s="67"/>
    </row>
    <row r="25" spans="1:11" ht="21" x14ac:dyDescent="0.35">
      <c r="A25" s="61" t="s">
        <v>739</v>
      </c>
      <c r="B25" s="66" t="s">
        <v>1319</v>
      </c>
      <c r="C25" s="66" t="s">
        <v>1320</v>
      </c>
      <c r="D25" s="66" t="s">
        <v>1321</v>
      </c>
      <c r="E25" s="66" t="s">
        <v>1283</v>
      </c>
      <c r="F25" s="66" t="s">
        <v>1322</v>
      </c>
      <c r="G25" s="67" t="s">
        <v>1323</v>
      </c>
      <c r="H25" s="67"/>
    </row>
    <row r="26" spans="1:11" ht="42" x14ac:dyDescent="0.35">
      <c r="A26" s="73" t="s">
        <v>741</v>
      </c>
      <c r="B26" s="66" t="s">
        <v>1324</v>
      </c>
      <c r="C26" s="66" t="s">
        <v>1325</v>
      </c>
      <c r="D26" s="66" t="s">
        <v>1326</v>
      </c>
      <c r="E26" s="66" t="s">
        <v>1327</v>
      </c>
      <c r="F26" s="66" t="s">
        <v>1328</v>
      </c>
      <c r="G26" s="67" t="s">
        <v>1329</v>
      </c>
      <c r="H26" s="67"/>
    </row>
    <row r="27" spans="1:11" ht="91" x14ac:dyDescent="0.35">
      <c r="A27" s="73" t="s">
        <v>741</v>
      </c>
      <c r="B27" s="63" t="s">
        <v>1330</v>
      </c>
      <c r="C27" s="63" t="s">
        <v>1331</v>
      </c>
      <c r="D27" s="63" t="s">
        <v>1332</v>
      </c>
      <c r="E27" s="63" t="s">
        <v>1240</v>
      </c>
      <c r="F27" s="63" t="s">
        <v>1333</v>
      </c>
      <c r="G27" s="764" t="s">
        <v>1334</v>
      </c>
      <c r="H27" s="764"/>
    </row>
    <row r="28" spans="1:11" ht="52" x14ac:dyDescent="0.35">
      <c r="A28" s="73" t="s">
        <v>741</v>
      </c>
      <c r="B28" s="63" t="s">
        <v>1335</v>
      </c>
      <c r="C28" s="63" t="s">
        <v>1336</v>
      </c>
      <c r="D28" s="63" t="s">
        <v>1337</v>
      </c>
      <c r="E28" s="63" t="s">
        <v>1283</v>
      </c>
      <c r="F28" s="63" t="s">
        <v>1338</v>
      </c>
      <c r="G28" s="764" t="s">
        <v>1339</v>
      </c>
      <c r="H28" s="764"/>
    </row>
    <row r="29" spans="1:11" ht="104" x14ac:dyDescent="0.35">
      <c r="A29" s="73" t="s">
        <v>741</v>
      </c>
      <c r="B29" s="62" t="s">
        <v>1340</v>
      </c>
      <c r="C29" s="62" t="s">
        <v>1341</v>
      </c>
      <c r="D29" s="62" t="s">
        <v>1342</v>
      </c>
      <c r="E29" s="84" t="s">
        <v>1157</v>
      </c>
      <c r="F29" s="84" t="s">
        <v>1343</v>
      </c>
      <c r="G29" s="766" t="s">
        <v>1344</v>
      </c>
      <c r="H29" s="887"/>
    </row>
    <row r="30" spans="1:11" ht="65" hidden="1" x14ac:dyDescent="0.35">
      <c r="A30" s="73" t="s">
        <v>741</v>
      </c>
      <c r="B30" s="63" t="s">
        <v>1345</v>
      </c>
      <c r="C30" s="63" t="s">
        <v>1346</v>
      </c>
      <c r="D30" s="63" t="s">
        <v>1347</v>
      </c>
      <c r="E30" s="63" t="s">
        <v>1348</v>
      </c>
      <c r="F30" s="63" t="s">
        <v>1349</v>
      </c>
      <c r="G30" s="764" t="s">
        <v>1350</v>
      </c>
      <c r="H30" s="764"/>
    </row>
    <row r="31" spans="1:11" ht="91" x14ac:dyDescent="0.35">
      <c r="A31" s="73" t="s">
        <v>741</v>
      </c>
      <c r="B31" s="62" t="s">
        <v>1351</v>
      </c>
      <c r="C31" s="62" t="s">
        <v>1352</v>
      </c>
      <c r="D31" s="62" t="s">
        <v>1353</v>
      </c>
      <c r="E31" s="84" t="s">
        <v>1354</v>
      </c>
      <c r="F31" s="84" t="s">
        <v>1355</v>
      </c>
      <c r="G31" s="766" t="s">
        <v>1356</v>
      </c>
      <c r="H31" s="887"/>
    </row>
    <row r="32" spans="1:11" ht="39" hidden="1" x14ac:dyDescent="0.35">
      <c r="A32" s="73" t="s">
        <v>741</v>
      </c>
      <c r="B32" s="63" t="s">
        <v>1357</v>
      </c>
      <c r="C32" s="764" t="s">
        <v>1358</v>
      </c>
      <c r="D32" s="764" t="s">
        <v>1359</v>
      </c>
      <c r="E32" s="63" t="s">
        <v>1021</v>
      </c>
      <c r="F32" s="63" t="s">
        <v>1360</v>
      </c>
      <c r="G32" s="764" t="s">
        <v>1361</v>
      </c>
      <c r="H32" s="764"/>
    </row>
    <row r="33" spans="1:10" ht="39" hidden="1" x14ac:dyDescent="0.35">
      <c r="A33" s="73" t="s">
        <v>741</v>
      </c>
      <c r="B33" s="62" t="s">
        <v>1362</v>
      </c>
      <c r="C33" s="62" t="s">
        <v>1363</v>
      </c>
      <c r="D33" s="62" t="s">
        <v>1364</v>
      </c>
      <c r="E33" s="84" t="s">
        <v>1365</v>
      </c>
      <c r="F33" s="62" t="s">
        <v>1366</v>
      </c>
      <c r="G33" s="766" t="s">
        <v>1367</v>
      </c>
      <c r="H33" s="887"/>
    </row>
    <row r="34" spans="1:10" ht="91" hidden="1" x14ac:dyDescent="0.35">
      <c r="A34" s="73" t="s">
        <v>741</v>
      </c>
      <c r="B34" s="63" t="s">
        <v>1368</v>
      </c>
      <c r="C34" s="63" t="s">
        <v>1369</v>
      </c>
      <c r="D34" s="63" t="s">
        <v>1370</v>
      </c>
      <c r="E34" s="63" t="s">
        <v>1371</v>
      </c>
      <c r="F34" s="63" t="s">
        <v>1372</v>
      </c>
      <c r="G34" s="764" t="s">
        <v>1373</v>
      </c>
      <c r="H34" s="764"/>
    </row>
    <row r="35" spans="1:10" ht="91" x14ac:dyDescent="0.35">
      <c r="A35" s="73" t="s">
        <v>741</v>
      </c>
      <c r="B35" s="62" t="s">
        <v>1374</v>
      </c>
      <c r="C35" s="62" t="s">
        <v>1375</v>
      </c>
      <c r="D35" s="62" t="s">
        <v>1376</v>
      </c>
      <c r="E35" s="84" t="s">
        <v>1377</v>
      </c>
      <c r="F35" s="84" t="s">
        <v>1378</v>
      </c>
      <c r="G35" s="766" t="s">
        <v>1379</v>
      </c>
      <c r="H35" s="887"/>
    </row>
    <row r="36" spans="1:10" ht="78" x14ac:dyDescent="0.35">
      <c r="A36" s="73" t="s">
        <v>741</v>
      </c>
      <c r="B36" s="765" t="s">
        <v>1380</v>
      </c>
      <c r="C36" s="63" t="s">
        <v>1381</v>
      </c>
      <c r="D36" s="63" t="s">
        <v>1382</v>
      </c>
      <c r="E36" s="765" t="s">
        <v>1377</v>
      </c>
      <c r="F36" s="764" t="s">
        <v>1383</v>
      </c>
      <c r="G36" s="764" t="s">
        <v>1384</v>
      </c>
      <c r="H36" s="764"/>
    </row>
    <row r="37" spans="1:10" ht="91" hidden="1" x14ac:dyDescent="0.35">
      <c r="A37" s="73" t="s">
        <v>741</v>
      </c>
      <c r="B37" s="62" t="s">
        <v>1385</v>
      </c>
      <c r="C37" s="62" t="s">
        <v>1386</v>
      </c>
      <c r="D37" s="62" t="s">
        <v>1387</v>
      </c>
      <c r="E37" s="84" t="s">
        <v>1157</v>
      </c>
      <c r="F37" s="84" t="s">
        <v>1388</v>
      </c>
      <c r="G37" s="766" t="s">
        <v>1373</v>
      </c>
      <c r="H37" s="887"/>
    </row>
    <row r="38" spans="1:10" ht="78" hidden="1" x14ac:dyDescent="0.35">
      <c r="A38" s="73" t="s">
        <v>211</v>
      </c>
      <c r="B38" s="63" t="s">
        <v>1389</v>
      </c>
      <c r="C38" s="63" t="s">
        <v>1390</v>
      </c>
      <c r="D38" s="63" t="s">
        <v>1391</v>
      </c>
      <c r="E38" s="765" t="s">
        <v>1283</v>
      </c>
      <c r="F38" s="764" t="s">
        <v>1392</v>
      </c>
      <c r="G38" s="764" t="s">
        <v>1393</v>
      </c>
      <c r="H38" s="764"/>
      <c r="J38" s="769"/>
    </row>
    <row r="39" spans="1:10" ht="65" hidden="1" x14ac:dyDescent="0.35">
      <c r="A39" s="73" t="s">
        <v>211</v>
      </c>
      <c r="B39" s="63" t="s">
        <v>1394</v>
      </c>
      <c r="C39" s="764" t="s">
        <v>1395</v>
      </c>
      <c r="D39" s="63" t="s">
        <v>1396</v>
      </c>
      <c r="E39" s="63" t="s">
        <v>1157</v>
      </c>
      <c r="F39" s="764" t="s">
        <v>1397</v>
      </c>
      <c r="G39" s="764" t="s">
        <v>1398</v>
      </c>
      <c r="H39" s="764"/>
    </row>
    <row r="40" spans="1:10" ht="39" hidden="1" x14ac:dyDescent="0.35">
      <c r="A40" s="73" t="s">
        <v>211</v>
      </c>
      <c r="B40" s="86" t="s">
        <v>1399</v>
      </c>
      <c r="C40" s="62" t="s">
        <v>1400</v>
      </c>
      <c r="D40" s="62" t="s">
        <v>1401</v>
      </c>
      <c r="E40" s="86" t="s">
        <v>1181</v>
      </c>
      <c r="F40" s="87" t="s">
        <v>1402</v>
      </c>
      <c r="G40" s="87" t="s">
        <v>1403</v>
      </c>
      <c r="H40" s="764"/>
    </row>
    <row r="41" spans="1:10" ht="78" hidden="1" x14ac:dyDescent="0.35">
      <c r="A41" s="73" t="s">
        <v>211</v>
      </c>
      <c r="B41" s="62" t="s">
        <v>1404</v>
      </c>
      <c r="C41" s="62"/>
      <c r="D41" s="62" t="s">
        <v>1405</v>
      </c>
      <c r="E41" s="88" t="s">
        <v>1406</v>
      </c>
      <c r="F41" s="87" t="s">
        <v>1407</v>
      </c>
      <c r="G41" s="87" t="s">
        <v>1408</v>
      </c>
      <c r="H41" s="764"/>
    </row>
    <row r="42" spans="1:10" ht="78" hidden="1" x14ac:dyDescent="0.35">
      <c r="A42" s="73" t="s">
        <v>211</v>
      </c>
      <c r="B42" s="63" t="s">
        <v>1409</v>
      </c>
      <c r="C42" s="63"/>
      <c r="D42" s="63" t="s">
        <v>1410</v>
      </c>
      <c r="E42" s="63" t="s">
        <v>1157</v>
      </c>
      <c r="F42" s="764" t="s">
        <v>1411</v>
      </c>
      <c r="G42" s="764" t="s">
        <v>1412</v>
      </c>
      <c r="H42" s="764"/>
    </row>
    <row r="43" spans="1:10" ht="65" hidden="1" x14ac:dyDescent="0.35">
      <c r="A43" s="73" t="s">
        <v>211</v>
      </c>
      <c r="B43" s="62" t="s">
        <v>1413</v>
      </c>
      <c r="C43" s="62"/>
      <c r="D43" s="62" t="s">
        <v>1414</v>
      </c>
      <c r="E43" s="88" t="s">
        <v>1157</v>
      </c>
      <c r="F43" s="87" t="s">
        <v>1415</v>
      </c>
      <c r="G43" s="87" t="s">
        <v>1416</v>
      </c>
      <c r="H43" s="764"/>
    </row>
    <row r="44" spans="1:10" ht="156" hidden="1" x14ac:dyDescent="0.35">
      <c r="A44" s="73" t="s">
        <v>754</v>
      </c>
      <c r="B44" s="104" t="s">
        <v>1417</v>
      </c>
      <c r="C44" s="104" t="s">
        <v>1418</v>
      </c>
      <c r="D44" s="104" t="s">
        <v>1419</v>
      </c>
      <c r="E44" s="105" t="s">
        <v>1420</v>
      </c>
      <c r="F44" s="104" t="s">
        <v>1421</v>
      </c>
      <c r="G44" s="108" t="s">
        <v>1422</v>
      </c>
      <c r="H44" s="108"/>
    </row>
    <row r="45" spans="1:10" ht="156" hidden="1" x14ac:dyDescent="0.35">
      <c r="A45" s="73" t="s">
        <v>754</v>
      </c>
      <c r="B45" s="106" t="s">
        <v>1423</v>
      </c>
      <c r="C45" s="106" t="s">
        <v>1424</v>
      </c>
      <c r="D45" s="106" t="s">
        <v>1425</v>
      </c>
      <c r="E45" s="107" t="s">
        <v>1426</v>
      </c>
      <c r="F45" s="106" t="s">
        <v>1427</v>
      </c>
      <c r="G45" s="109" t="s">
        <v>1428</v>
      </c>
      <c r="H45" s="108"/>
    </row>
    <row r="46" spans="1:10" ht="104" hidden="1" x14ac:dyDescent="0.35">
      <c r="A46" s="73" t="s">
        <v>754</v>
      </c>
      <c r="B46" s="104" t="s">
        <v>1429</v>
      </c>
      <c r="C46" s="104" t="s">
        <v>1430</v>
      </c>
      <c r="D46" s="104" t="s">
        <v>1431</v>
      </c>
      <c r="E46" s="105" t="s">
        <v>1432</v>
      </c>
      <c r="F46" s="104" t="s">
        <v>1433</v>
      </c>
      <c r="G46" s="110" t="s">
        <v>1434</v>
      </c>
      <c r="H46" s="108"/>
    </row>
    <row r="47" spans="1:10" ht="195" hidden="1" x14ac:dyDescent="0.35">
      <c r="A47" s="73" t="s">
        <v>756</v>
      </c>
      <c r="B47" s="106" t="s">
        <v>785</v>
      </c>
      <c r="C47" s="106" t="s">
        <v>1435</v>
      </c>
      <c r="D47" s="106" t="s">
        <v>1436</v>
      </c>
      <c r="E47" s="107" t="s">
        <v>1437</v>
      </c>
      <c r="F47" s="106" t="s">
        <v>1438</v>
      </c>
      <c r="G47" s="109" t="s">
        <v>1439</v>
      </c>
      <c r="H47" s="108"/>
    </row>
    <row r="48" spans="1:10" ht="78" hidden="1" x14ac:dyDescent="0.35">
      <c r="A48" s="73" t="s">
        <v>756</v>
      </c>
      <c r="B48" s="104" t="s">
        <v>1440</v>
      </c>
      <c r="C48" s="104" t="s">
        <v>1441</v>
      </c>
      <c r="D48" s="104" t="s">
        <v>1442</v>
      </c>
      <c r="E48" s="105" t="s">
        <v>1443</v>
      </c>
      <c r="F48" s="104"/>
      <c r="G48" s="110" t="s">
        <v>1444</v>
      </c>
      <c r="H48" s="108"/>
    </row>
    <row r="49" spans="1:13" ht="78" hidden="1" x14ac:dyDescent="0.35">
      <c r="A49" s="73" t="s">
        <v>756</v>
      </c>
      <c r="B49" s="106" t="s">
        <v>1445</v>
      </c>
      <c r="C49" s="106" t="s">
        <v>1446</v>
      </c>
      <c r="D49" s="106" t="s">
        <v>1447</v>
      </c>
      <c r="E49" s="107" t="s">
        <v>1448</v>
      </c>
      <c r="F49" s="106" t="s">
        <v>1449</v>
      </c>
      <c r="G49" s="109" t="s">
        <v>1450</v>
      </c>
      <c r="H49" s="108"/>
    </row>
    <row r="50" spans="1:13" ht="52" hidden="1" x14ac:dyDescent="0.35">
      <c r="A50" s="73" t="s">
        <v>1236</v>
      </c>
      <c r="B50" s="104" t="s">
        <v>1451</v>
      </c>
      <c r="C50" s="104" t="s">
        <v>1452</v>
      </c>
      <c r="D50" s="104" t="s">
        <v>1453</v>
      </c>
      <c r="E50" s="105" t="s">
        <v>1157</v>
      </c>
      <c r="F50" s="104" t="s">
        <v>1454</v>
      </c>
      <c r="G50" s="110" t="s">
        <v>1455</v>
      </c>
      <c r="H50" s="108"/>
    </row>
    <row r="51" spans="1:13" ht="91" hidden="1" x14ac:dyDescent="0.35">
      <c r="A51" s="73" t="s">
        <v>1236</v>
      </c>
      <c r="B51" s="106" t="s">
        <v>1456</v>
      </c>
      <c r="C51" s="106" t="s">
        <v>1457</v>
      </c>
      <c r="D51" s="106" t="s">
        <v>1458</v>
      </c>
      <c r="E51" s="107" t="s">
        <v>1459</v>
      </c>
      <c r="F51" s="106" t="s">
        <v>1460</v>
      </c>
      <c r="G51" s="109" t="s">
        <v>1461</v>
      </c>
      <c r="H51" s="108"/>
    </row>
    <row r="52" spans="1:13" ht="91" hidden="1" x14ac:dyDescent="0.35">
      <c r="A52" s="73" t="s">
        <v>1236</v>
      </c>
      <c r="B52" s="104" t="s">
        <v>1462</v>
      </c>
      <c r="C52" s="104" t="s">
        <v>1463</v>
      </c>
      <c r="D52" s="104" t="s">
        <v>1464</v>
      </c>
      <c r="E52" s="105" t="s">
        <v>1157</v>
      </c>
      <c r="F52" s="104" t="s">
        <v>1465</v>
      </c>
      <c r="G52" s="110" t="s">
        <v>1466</v>
      </c>
      <c r="H52" s="108"/>
      <c r="I52" s="767"/>
      <c r="J52" s="767"/>
      <c r="K52" s="767"/>
      <c r="L52" s="768"/>
      <c r="M52" s="767"/>
    </row>
    <row r="53" spans="1:13" ht="104" hidden="1" x14ac:dyDescent="0.35">
      <c r="A53" s="73" t="s">
        <v>1236</v>
      </c>
      <c r="B53" s="106" t="s">
        <v>1467</v>
      </c>
      <c r="C53" s="106" t="s">
        <v>1468</v>
      </c>
      <c r="D53" s="106" t="s">
        <v>1469</v>
      </c>
      <c r="E53" s="107" t="s">
        <v>1157</v>
      </c>
      <c r="F53" s="106" t="s">
        <v>1470</v>
      </c>
      <c r="G53" s="109" t="s">
        <v>1471</v>
      </c>
      <c r="H53" s="108"/>
      <c r="I53" s="767"/>
      <c r="J53" s="767"/>
      <c r="K53" s="767"/>
      <c r="L53" s="768"/>
      <c r="M53" s="767"/>
    </row>
    <row r="54" spans="1:13" ht="143" hidden="1" x14ac:dyDescent="0.35">
      <c r="A54" s="73" t="s">
        <v>1236</v>
      </c>
      <c r="B54" s="104" t="s">
        <v>1472</v>
      </c>
      <c r="C54" s="104" t="s">
        <v>1473</v>
      </c>
      <c r="D54" s="104" t="s">
        <v>1474</v>
      </c>
      <c r="E54" s="105" t="s">
        <v>1157</v>
      </c>
      <c r="F54" s="104" t="s">
        <v>1475</v>
      </c>
      <c r="G54" s="110" t="s">
        <v>1476</v>
      </c>
      <c r="H54" s="108"/>
      <c r="I54" s="767"/>
      <c r="J54" s="767"/>
      <c r="K54" s="767"/>
      <c r="L54" s="768"/>
      <c r="M54" s="767"/>
    </row>
    <row r="55" spans="1:13" ht="143" hidden="1" x14ac:dyDescent="0.35">
      <c r="A55" s="73" t="s">
        <v>1236</v>
      </c>
      <c r="B55" s="106" t="s">
        <v>1477</v>
      </c>
      <c r="C55" s="106" t="s">
        <v>1478</v>
      </c>
      <c r="D55" s="106" t="s">
        <v>1479</v>
      </c>
      <c r="E55" s="107" t="s">
        <v>1480</v>
      </c>
      <c r="F55" s="106" t="s">
        <v>1481</v>
      </c>
      <c r="G55" s="109" t="s">
        <v>1482</v>
      </c>
      <c r="H55" s="108"/>
      <c r="I55" s="104"/>
      <c r="J55" s="104"/>
      <c r="K55" s="104"/>
      <c r="L55" s="105"/>
      <c r="M55" s="104"/>
    </row>
    <row r="56" spans="1:13" ht="52" hidden="1" x14ac:dyDescent="0.35">
      <c r="A56" s="73" t="s">
        <v>1236</v>
      </c>
      <c r="B56" s="767" t="s">
        <v>1483</v>
      </c>
      <c r="C56" s="767" t="s">
        <v>1484</v>
      </c>
      <c r="D56" s="767" t="s">
        <v>1485</v>
      </c>
      <c r="E56" s="767" t="s">
        <v>1486</v>
      </c>
      <c r="F56" s="767" t="s">
        <v>1487</v>
      </c>
      <c r="G56" s="108" t="s">
        <v>1242</v>
      </c>
      <c r="H56" s="108"/>
    </row>
    <row r="57" spans="1:13" ht="78" hidden="1" x14ac:dyDescent="0.35">
      <c r="A57" s="73" t="s">
        <v>1255</v>
      </c>
      <c r="B57" s="104" t="s">
        <v>1488</v>
      </c>
      <c r="C57" s="104" t="s">
        <v>1489</v>
      </c>
      <c r="D57" s="104" t="s">
        <v>1490</v>
      </c>
      <c r="E57" s="105" t="s">
        <v>1491</v>
      </c>
      <c r="F57" s="104" t="s">
        <v>1492</v>
      </c>
      <c r="G57" s="110" t="s">
        <v>1493</v>
      </c>
      <c r="H57" s="108"/>
    </row>
    <row r="58" spans="1:13" ht="65" hidden="1" x14ac:dyDescent="0.35">
      <c r="A58" s="73" t="s">
        <v>1255</v>
      </c>
      <c r="B58" s="106" t="s">
        <v>1494</v>
      </c>
      <c r="C58" s="106" t="s">
        <v>1495</v>
      </c>
      <c r="D58" s="106" t="s">
        <v>1496</v>
      </c>
      <c r="E58" s="107" t="s">
        <v>1497</v>
      </c>
      <c r="F58" s="106" t="s">
        <v>1498</v>
      </c>
      <c r="G58" s="109" t="s">
        <v>1499</v>
      </c>
      <c r="H58" s="108"/>
    </row>
    <row r="59" spans="1:13" ht="104" hidden="1" x14ac:dyDescent="0.35">
      <c r="A59" s="73" t="s">
        <v>1255</v>
      </c>
      <c r="B59" s="104" t="s">
        <v>1500</v>
      </c>
      <c r="C59" s="104" t="s">
        <v>1501</v>
      </c>
      <c r="D59" s="104" t="s">
        <v>1502</v>
      </c>
      <c r="E59" s="105" t="s">
        <v>1021</v>
      </c>
      <c r="F59" s="104" t="s">
        <v>1503</v>
      </c>
      <c r="G59" s="110" t="s">
        <v>1504</v>
      </c>
      <c r="H59" s="108"/>
    </row>
    <row r="60" spans="1:13" ht="78" hidden="1" x14ac:dyDescent="0.35">
      <c r="A60" s="73" t="s">
        <v>1255</v>
      </c>
      <c r="B60" s="106" t="s">
        <v>1505</v>
      </c>
      <c r="C60" s="106" t="s">
        <v>1506</v>
      </c>
      <c r="D60" s="106" t="s">
        <v>1507</v>
      </c>
      <c r="E60" s="107" t="s">
        <v>1508</v>
      </c>
      <c r="F60" s="106" t="s">
        <v>1509</v>
      </c>
      <c r="G60" s="109" t="s">
        <v>1510</v>
      </c>
      <c r="H60" s="108"/>
    </row>
    <row r="61" spans="1:13" ht="91" hidden="1" x14ac:dyDescent="0.35">
      <c r="A61" s="73" t="s">
        <v>1255</v>
      </c>
      <c r="B61" s="104" t="s">
        <v>1511</v>
      </c>
      <c r="C61" s="104" t="s">
        <v>1512</v>
      </c>
      <c r="D61" s="104" t="s">
        <v>1513</v>
      </c>
      <c r="E61" s="105" t="s">
        <v>1021</v>
      </c>
      <c r="F61" s="104" t="s">
        <v>1514</v>
      </c>
      <c r="G61" s="110" t="s">
        <v>1515</v>
      </c>
      <c r="H61" s="108"/>
    </row>
    <row r="62" spans="1:13" ht="78" hidden="1" x14ac:dyDescent="0.35">
      <c r="A62" s="73" t="s">
        <v>1255</v>
      </c>
      <c r="B62" s="106" t="s">
        <v>1516</v>
      </c>
      <c r="C62" s="106"/>
      <c r="D62" s="106" t="s">
        <v>1517</v>
      </c>
      <c r="E62" s="107" t="s">
        <v>1283</v>
      </c>
      <c r="F62" s="106" t="s">
        <v>1518</v>
      </c>
      <c r="G62" s="109" t="s">
        <v>1519</v>
      </c>
      <c r="H62" s="108"/>
    </row>
    <row r="63" spans="1:13" ht="52" hidden="1" x14ac:dyDescent="0.35">
      <c r="A63" s="73" t="s">
        <v>1255</v>
      </c>
      <c r="B63" s="104" t="s">
        <v>1520</v>
      </c>
      <c r="C63" s="104" t="s">
        <v>1521</v>
      </c>
      <c r="D63" s="104" t="s">
        <v>1522</v>
      </c>
      <c r="E63" s="105" t="s">
        <v>1508</v>
      </c>
      <c r="F63" s="104" t="s">
        <v>1523</v>
      </c>
      <c r="G63" s="110" t="s">
        <v>1524</v>
      </c>
      <c r="H63" s="108"/>
    </row>
    <row r="64" spans="1:13" ht="65" hidden="1" x14ac:dyDescent="0.35">
      <c r="A64" s="73" t="s">
        <v>1217</v>
      </c>
      <c r="B64" s="106" t="s">
        <v>1525</v>
      </c>
      <c r="C64" s="106" t="s">
        <v>1526</v>
      </c>
      <c r="D64" s="106" t="s">
        <v>1527</v>
      </c>
      <c r="E64" s="107" t="s">
        <v>1021</v>
      </c>
      <c r="F64" s="106" t="s">
        <v>1528</v>
      </c>
      <c r="G64" s="109" t="s">
        <v>1529</v>
      </c>
      <c r="H64" s="108"/>
      <c r="I64" s="109" t="s">
        <v>587</v>
      </c>
      <c r="J64" s="170"/>
    </row>
    <row r="65" spans="1:8" ht="65" hidden="1" x14ac:dyDescent="0.35">
      <c r="A65" s="73" t="s">
        <v>1217</v>
      </c>
      <c r="B65" s="104" t="s">
        <v>1530</v>
      </c>
      <c r="C65" s="104" t="s">
        <v>1531</v>
      </c>
      <c r="D65" s="104" t="s">
        <v>1532</v>
      </c>
      <c r="E65" s="105" t="s">
        <v>1533</v>
      </c>
      <c r="F65" s="104" t="s">
        <v>1534</v>
      </c>
      <c r="G65" s="110" t="s">
        <v>1535</v>
      </c>
      <c r="H65" s="108"/>
    </row>
    <row r="66" spans="1:8" ht="247" hidden="1" x14ac:dyDescent="0.35">
      <c r="A66" s="73" t="s">
        <v>1217</v>
      </c>
      <c r="B66" s="106" t="s">
        <v>1017</v>
      </c>
      <c r="C66" s="106" t="s">
        <v>1018</v>
      </c>
      <c r="D66" s="106" t="s">
        <v>1536</v>
      </c>
      <c r="E66" s="107" t="s">
        <v>1537</v>
      </c>
      <c r="F66" s="106" t="s">
        <v>1019</v>
      </c>
      <c r="G66" s="109" t="s">
        <v>1538</v>
      </c>
      <c r="H66" s="108"/>
    </row>
    <row r="67" spans="1:8" ht="195" hidden="1" x14ac:dyDescent="0.35">
      <c r="A67" s="73" t="s">
        <v>1217</v>
      </c>
      <c r="B67" s="104" t="s">
        <v>1539</v>
      </c>
      <c r="C67" s="104" t="s">
        <v>1540</v>
      </c>
      <c r="D67" s="104" t="s">
        <v>1541</v>
      </c>
      <c r="E67" s="105" t="s">
        <v>1021</v>
      </c>
      <c r="F67" s="104" t="s">
        <v>1542</v>
      </c>
      <c r="G67" s="110" t="s">
        <v>1543</v>
      </c>
      <c r="H67" s="108"/>
    </row>
    <row r="68" spans="1:8" ht="65" hidden="1" x14ac:dyDescent="0.35">
      <c r="A68" s="73" t="s">
        <v>1217</v>
      </c>
      <c r="B68" s="106" t="s">
        <v>1544</v>
      </c>
      <c r="C68" s="106" t="s">
        <v>1545</v>
      </c>
      <c r="D68" s="106" t="s">
        <v>1546</v>
      </c>
      <c r="E68" s="107" t="s">
        <v>1021</v>
      </c>
      <c r="F68" s="106" t="s">
        <v>1547</v>
      </c>
      <c r="G68" s="109" t="s">
        <v>1548</v>
      </c>
      <c r="H68" s="108"/>
    </row>
    <row r="69" spans="1:8" ht="78" hidden="1" x14ac:dyDescent="0.35">
      <c r="A69" s="73" t="s">
        <v>1217</v>
      </c>
      <c r="B69" s="104" t="s">
        <v>1549</v>
      </c>
      <c r="C69" s="104" t="s">
        <v>1550</v>
      </c>
      <c r="D69" s="104" t="s">
        <v>1551</v>
      </c>
      <c r="E69" s="105" t="s">
        <v>1021</v>
      </c>
      <c r="F69" s="104" t="s">
        <v>1552</v>
      </c>
      <c r="G69" s="110" t="s">
        <v>1553</v>
      </c>
      <c r="H69" s="108"/>
    </row>
    <row r="70" spans="1:8" ht="91" hidden="1" x14ac:dyDescent="0.35">
      <c r="A70" s="73" t="s">
        <v>1217</v>
      </c>
      <c r="B70" s="106" t="s">
        <v>1554</v>
      </c>
      <c r="C70" s="106" t="s">
        <v>1555</v>
      </c>
      <c r="D70" s="106" t="s">
        <v>1556</v>
      </c>
      <c r="E70" s="107" t="s">
        <v>1021</v>
      </c>
      <c r="F70" s="106" t="s">
        <v>1557</v>
      </c>
      <c r="G70" s="109" t="s">
        <v>1558</v>
      </c>
      <c r="H70" s="108"/>
    </row>
    <row r="71" spans="1:8" ht="65" hidden="1" x14ac:dyDescent="0.35">
      <c r="A71" s="73" t="s">
        <v>1217</v>
      </c>
      <c r="B71" s="104" t="s">
        <v>1559</v>
      </c>
      <c r="C71" s="104" t="s">
        <v>1560</v>
      </c>
      <c r="D71" s="104" t="s">
        <v>1561</v>
      </c>
      <c r="E71" s="105" t="s">
        <v>1021</v>
      </c>
      <c r="F71" s="104" t="s">
        <v>1562</v>
      </c>
      <c r="G71" s="110" t="s">
        <v>1563</v>
      </c>
      <c r="H71" s="108"/>
    </row>
    <row r="72" spans="1:8" ht="65" hidden="1" x14ac:dyDescent="0.35">
      <c r="A72" s="73" t="s">
        <v>1217</v>
      </c>
      <c r="B72" s="106" t="s">
        <v>1564</v>
      </c>
      <c r="C72" s="106" t="s">
        <v>1565</v>
      </c>
      <c r="D72" s="106" t="s">
        <v>1566</v>
      </c>
      <c r="E72" s="107" t="s">
        <v>1021</v>
      </c>
      <c r="F72" s="106" t="s">
        <v>1567</v>
      </c>
      <c r="G72" s="109" t="s">
        <v>1568</v>
      </c>
      <c r="H72" s="108"/>
    </row>
    <row r="73" spans="1:8" ht="65" hidden="1" x14ac:dyDescent="0.35">
      <c r="A73" s="73" t="s">
        <v>1217</v>
      </c>
      <c r="B73" s="104" t="s">
        <v>1569</v>
      </c>
      <c r="C73" s="104" t="s">
        <v>1570</v>
      </c>
      <c r="D73" s="104" t="s">
        <v>1571</v>
      </c>
      <c r="E73" s="105" t="s">
        <v>1021</v>
      </c>
      <c r="F73" s="104" t="s">
        <v>1572</v>
      </c>
      <c r="G73" s="110" t="s">
        <v>1573</v>
      </c>
      <c r="H73" s="108"/>
    </row>
    <row r="74" spans="1:8" ht="91" hidden="1" x14ac:dyDescent="0.35">
      <c r="A74" s="73" t="s">
        <v>764</v>
      </c>
      <c r="B74" s="106" t="s">
        <v>1574</v>
      </c>
      <c r="C74" s="106" t="s">
        <v>1575</v>
      </c>
      <c r="D74" s="106" t="s">
        <v>1576</v>
      </c>
      <c r="E74" s="107" t="s">
        <v>1275</v>
      </c>
      <c r="F74" s="106" t="s">
        <v>1577</v>
      </c>
      <c r="G74" s="109" t="s">
        <v>1578</v>
      </c>
      <c r="H74" s="108"/>
    </row>
    <row r="75" spans="1:8" ht="78" hidden="1" x14ac:dyDescent="0.35">
      <c r="A75" s="73" t="s">
        <v>764</v>
      </c>
      <c r="B75" s="106" t="s">
        <v>1579</v>
      </c>
      <c r="C75" s="106" t="s">
        <v>1580</v>
      </c>
      <c r="D75" s="106" t="s">
        <v>1581</v>
      </c>
      <c r="E75" s="107" t="s">
        <v>1582</v>
      </c>
      <c r="F75" s="106" t="s">
        <v>1583</v>
      </c>
      <c r="G75" s="109" t="s">
        <v>1584</v>
      </c>
      <c r="H75" s="108"/>
    </row>
    <row r="76" spans="1:8" ht="91" hidden="1" x14ac:dyDescent="0.35">
      <c r="A76" s="73" t="s">
        <v>764</v>
      </c>
      <c r="B76" s="106" t="s">
        <v>1585</v>
      </c>
      <c r="C76" s="106" t="s">
        <v>1586</v>
      </c>
      <c r="D76" s="106" t="s">
        <v>1587</v>
      </c>
      <c r="E76" s="107" t="s">
        <v>767</v>
      </c>
      <c r="F76" s="106" t="s">
        <v>1588</v>
      </c>
      <c r="G76" s="109" t="s">
        <v>1589</v>
      </c>
      <c r="H76" s="108"/>
    </row>
    <row r="77" spans="1:8" ht="52" hidden="1" x14ac:dyDescent="0.35">
      <c r="A77" s="73" t="s">
        <v>764</v>
      </c>
      <c r="B77" s="104" t="s">
        <v>1590</v>
      </c>
      <c r="C77" s="104" t="s">
        <v>1591</v>
      </c>
      <c r="D77" s="104" t="s">
        <v>1592</v>
      </c>
      <c r="E77" s="105" t="s">
        <v>1582</v>
      </c>
      <c r="F77" s="104" t="s">
        <v>1593</v>
      </c>
      <c r="G77" s="110" t="s">
        <v>1594</v>
      </c>
      <c r="H77" s="108"/>
    </row>
    <row r="78" spans="1:8" ht="78" hidden="1" x14ac:dyDescent="0.35">
      <c r="A78" s="73" t="s">
        <v>764</v>
      </c>
      <c r="B78" s="106" t="s">
        <v>1595</v>
      </c>
      <c r="C78" s="106" t="s">
        <v>1596</v>
      </c>
      <c r="D78" s="106" t="s">
        <v>1597</v>
      </c>
      <c r="E78" s="107" t="s">
        <v>1582</v>
      </c>
      <c r="F78" s="106" t="s">
        <v>1598</v>
      </c>
      <c r="G78" s="109" t="s">
        <v>1599</v>
      </c>
      <c r="H78" s="108"/>
    </row>
    <row r="79" spans="1:8" ht="52" hidden="1" x14ac:dyDescent="0.35">
      <c r="A79" s="73" t="s">
        <v>764</v>
      </c>
      <c r="B79" s="104" t="s">
        <v>1600</v>
      </c>
      <c r="C79" s="104" t="s">
        <v>1601</v>
      </c>
      <c r="D79" s="104" t="s">
        <v>1602</v>
      </c>
      <c r="E79" s="105" t="s">
        <v>1603</v>
      </c>
      <c r="F79" s="104" t="s">
        <v>1604</v>
      </c>
      <c r="G79" s="110" t="s">
        <v>1605</v>
      </c>
      <c r="H79" s="108"/>
    </row>
    <row r="80" spans="1:8" ht="182" hidden="1" x14ac:dyDescent="0.35">
      <c r="A80" s="73" t="s">
        <v>764</v>
      </c>
      <c r="B80" s="106" t="s">
        <v>1606</v>
      </c>
      <c r="C80" s="106" t="s">
        <v>1607</v>
      </c>
      <c r="D80" s="106" t="s">
        <v>1608</v>
      </c>
      <c r="E80" s="107" t="s">
        <v>1582</v>
      </c>
      <c r="F80" s="106" t="s">
        <v>1609</v>
      </c>
      <c r="G80" s="109" t="s">
        <v>1610</v>
      </c>
      <c r="H80" s="108"/>
    </row>
    <row r="81" spans="1:8" ht="65" hidden="1" x14ac:dyDescent="0.35">
      <c r="A81" s="73" t="s">
        <v>764</v>
      </c>
      <c r="B81" s="104" t="s">
        <v>1611</v>
      </c>
      <c r="C81" s="104" t="s">
        <v>1612</v>
      </c>
      <c r="D81" s="104" t="s">
        <v>1613</v>
      </c>
      <c r="E81" s="105" t="s">
        <v>1614</v>
      </c>
      <c r="F81" s="104" t="s">
        <v>1615</v>
      </c>
      <c r="G81" s="110" t="s">
        <v>1616</v>
      </c>
      <c r="H81" s="108"/>
    </row>
  </sheetData>
  <autoFilter ref="A17:G81" xr:uid="{241F3FC6-DD24-40DF-B303-6D7925D74143}">
    <filterColumn colId="0">
      <filters>
        <filter val="Productividad operacional"/>
      </filters>
    </filterColumn>
    <filterColumn colId="1">
      <filters>
        <filter val="Ahorro en materias primas (AMP). - (2)"/>
        <filter val="Costo calidad externa (CCE). - (2)"/>
        <filter val="Costo calidad interna (CCI). - (2)"/>
        <filter val="Costo unitario de producción (CU). - (2)"/>
        <filter val="Defectos (DE). - (2)"/>
        <filter val="Overall Equipment Efficiency (OEE). - (2)"/>
        <filter val="Tiempo de ciclo productivo (TCP) - (2)"/>
      </filters>
    </filterColumn>
  </autoFilter>
  <pageMargins left="0.7" right="0.7" top="0.75" bottom="0.75" header="0.3" footer="0.3"/>
  <pageSetup orientation="portrait" horizontalDpi="300" verticalDpi="300"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AD5D4-B56C-470F-BD3A-7639C77342CC}">
  <dimension ref="A1:WM20"/>
  <sheetViews>
    <sheetView topLeftCell="IE1" zoomScale="130" zoomScaleNormal="130" workbookViewId="0">
      <selection activeCell="IV1" sqref="IV1"/>
    </sheetView>
  </sheetViews>
  <sheetFormatPr baseColWidth="10" defaultColWidth="11.453125" defaultRowHeight="14.5" outlineLevelCol="1" x14ac:dyDescent="0.35"/>
  <cols>
    <col min="1" max="1" width="14.81640625" customWidth="1"/>
    <col min="2" max="2" width="16" customWidth="1"/>
    <col min="3" max="3" width="21.81640625" customWidth="1"/>
    <col min="4" max="4" width="18.54296875" customWidth="1"/>
    <col min="5" max="116" width="3.453125" customWidth="1" outlineLevel="1"/>
    <col min="117" max="117" width="21.81640625" customWidth="1" outlineLevel="1"/>
    <col min="162" max="162" width="16.453125" customWidth="1"/>
    <col min="175" max="175" width="16.26953125" customWidth="1"/>
    <col min="205" max="205" width="11.453125" style="826"/>
  </cols>
  <sheetData>
    <row r="1" spans="1:611" ht="59.5" customHeight="1" x14ac:dyDescent="0.35">
      <c r="A1" s="693" t="s">
        <v>902</v>
      </c>
      <c r="B1" s="693" t="s">
        <v>1617</v>
      </c>
      <c r="C1" s="693" t="s">
        <v>1618</v>
      </c>
      <c r="D1" s="693" t="s">
        <v>1619</v>
      </c>
      <c r="E1" s="703" t="s">
        <v>739</v>
      </c>
      <c r="F1" t="s">
        <v>27</v>
      </c>
      <c r="G1" t="s">
        <v>32</v>
      </c>
      <c r="H1" t="s">
        <v>39</v>
      </c>
      <c r="I1" t="s">
        <v>52</v>
      </c>
      <c r="J1" t="s">
        <v>59</v>
      </c>
      <c r="K1" t="s">
        <v>67</v>
      </c>
      <c r="L1" s="703" t="s">
        <v>741</v>
      </c>
      <c r="M1" s="704" t="s">
        <v>743</v>
      </c>
      <c r="N1" t="s">
        <v>1620</v>
      </c>
      <c r="O1" t="s">
        <v>1621</v>
      </c>
      <c r="P1" t="s">
        <v>1622</v>
      </c>
      <c r="Q1" t="s">
        <v>96</v>
      </c>
      <c r="R1" s="705" t="s">
        <v>1623</v>
      </c>
      <c r="S1" t="s">
        <v>105</v>
      </c>
      <c r="T1" t="s">
        <v>112</v>
      </c>
      <c r="U1" t="s">
        <v>120</v>
      </c>
      <c r="V1" t="s">
        <v>128</v>
      </c>
      <c r="W1" s="704" t="s">
        <v>745</v>
      </c>
      <c r="X1" t="s">
        <v>137</v>
      </c>
      <c r="Y1" s="704" t="s">
        <v>747</v>
      </c>
      <c r="Z1" s="705" t="s">
        <v>146</v>
      </c>
      <c r="AA1" t="s">
        <v>155</v>
      </c>
      <c r="AB1" s="704" t="s">
        <v>749</v>
      </c>
      <c r="AC1" s="705" t="s">
        <v>163</v>
      </c>
      <c r="AD1" s="704" t="s">
        <v>751</v>
      </c>
      <c r="AE1" s="705" t="s">
        <v>172</v>
      </c>
      <c r="AF1" s="705" t="s">
        <v>180</v>
      </c>
      <c r="AG1" s="705" t="s">
        <v>184</v>
      </c>
      <c r="AH1" s="705" t="s">
        <v>193</v>
      </c>
      <c r="AI1" s="705" t="s">
        <v>201</v>
      </c>
      <c r="AJ1" s="703" t="s">
        <v>211</v>
      </c>
      <c r="AK1" t="s">
        <v>211</v>
      </c>
      <c r="AL1" t="s">
        <v>1624</v>
      </c>
      <c r="AM1" t="s">
        <v>221</v>
      </c>
      <c r="AN1" t="s">
        <v>1625</v>
      </c>
      <c r="AO1" t="s">
        <v>235</v>
      </c>
      <c r="AP1" t="s">
        <v>243</v>
      </c>
      <c r="AQ1" t="s">
        <v>251</v>
      </c>
      <c r="AR1" t="s">
        <v>259</v>
      </c>
      <c r="AS1" t="s">
        <v>259</v>
      </c>
      <c r="AT1" t="s">
        <v>274</v>
      </c>
      <c r="AU1" t="s">
        <v>282</v>
      </c>
      <c r="AV1" t="s">
        <v>290</v>
      </c>
      <c r="AW1" t="s">
        <v>297</v>
      </c>
      <c r="AX1" t="s">
        <v>305</v>
      </c>
      <c r="AY1" t="s">
        <v>313</v>
      </c>
      <c r="AZ1" s="703" t="s">
        <v>754</v>
      </c>
      <c r="BA1" t="s">
        <v>320</v>
      </c>
      <c r="BB1" t="s">
        <v>328</v>
      </c>
      <c r="BC1" t="s">
        <v>336</v>
      </c>
      <c r="BD1" t="s">
        <v>344</v>
      </c>
      <c r="BE1" t="s">
        <v>351</v>
      </c>
      <c r="BF1" t="s">
        <v>358</v>
      </c>
      <c r="BG1" t="s">
        <v>365</v>
      </c>
      <c r="BH1" t="s">
        <v>372</v>
      </c>
      <c r="BI1" t="s">
        <v>221</v>
      </c>
      <c r="BJ1" t="s">
        <v>385</v>
      </c>
      <c r="BK1" s="703" t="s">
        <v>756</v>
      </c>
      <c r="BL1" t="s">
        <v>392</v>
      </c>
      <c r="BM1" t="s">
        <v>400</v>
      </c>
      <c r="BN1" t="s">
        <v>408</v>
      </c>
      <c r="BO1" t="s">
        <v>416</v>
      </c>
      <c r="BP1" t="s">
        <v>424</v>
      </c>
      <c r="BQ1" s="703" t="s">
        <v>758</v>
      </c>
      <c r="BR1" s="705" t="s">
        <v>431</v>
      </c>
      <c r="BS1" t="s">
        <v>439</v>
      </c>
      <c r="BT1" t="s">
        <v>446</v>
      </c>
      <c r="BU1" t="s">
        <v>454</v>
      </c>
      <c r="BV1" t="s">
        <v>462</v>
      </c>
      <c r="BW1" t="s">
        <v>469</v>
      </c>
      <c r="BX1" t="s">
        <v>476</v>
      </c>
      <c r="BY1" t="s">
        <v>484</v>
      </c>
      <c r="BZ1" t="s">
        <v>492</v>
      </c>
      <c r="CA1" t="s">
        <v>500</v>
      </c>
      <c r="CB1" s="705" t="s">
        <v>508</v>
      </c>
      <c r="CC1" s="703" t="s">
        <v>760</v>
      </c>
      <c r="CD1" t="s">
        <v>516</v>
      </c>
      <c r="CE1" t="s">
        <v>523</v>
      </c>
      <c r="CF1" t="s">
        <v>530</v>
      </c>
      <c r="CG1" t="s">
        <v>537</v>
      </c>
      <c r="CH1" t="s">
        <v>544</v>
      </c>
      <c r="CI1" t="s">
        <v>551</v>
      </c>
      <c r="CJ1" t="s">
        <v>559</v>
      </c>
      <c r="CK1" t="s">
        <v>566</v>
      </c>
      <c r="CL1" t="s">
        <v>572</v>
      </c>
      <c r="CM1" t="s">
        <v>579</v>
      </c>
      <c r="CN1" s="703" t="s">
        <v>762</v>
      </c>
      <c r="CO1" t="s">
        <v>586</v>
      </c>
      <c r="CP1" s="705" t="s">
        <v>594</v>
      </c>
      <c r="CQ1" s="705" t="s">
        <v>601</v>
      </c>
      <c r="CR1" s="705" t="s">
        <v>1626</v>
      </c>
      <c r="CS1" s="705" t="s">
        <v>1627</v>
      </c>
      <c r="CT1" s="705" t="s">
        <v>1628</v>
      </c>
      <c r="CU1" s="702" t="s">
        <v>617</v>
      </c>
      <c r="CV1" s="705" t="s">
        <v>1629</v>
      </c>
      <c r="CW1" s="705" t="s">
        <v>628</v>
      </c>
      <c r="CX1" s="705" t="s">
        <v>636</v>
      </c>
      <c r="CY1" t="s">
        <v>642</v>
      </c>
      <c r="CZ1" s="705" t="s">
        <v>647</v>
      </c>
      <c r="DA1" t="s">
        <v>654</v>
      </c>
      <c r="DB1" t="s">
        <v>661</v>
      </c>
      <c r="DC1" t="s">
        <v>668</v>
      </c>
      <c r="DD1" s="703" t="s">
        <v>764</v>
      </c>
      <c r="DE1" t="s">
        <v>677</v>
      </c>
      <c r="DF1" s="705" t="s">
        <v>683</v>
      </c>
      <c r="DG1" t="s">
        <v>690</v>
      </c>
      <c r="DH1" t="s">
        <v>696</v>
      </c>
      <c r="DI1" t="s">
        <v>704</v>
      </c>
      <c r="DJ1" t="s">
        <v>1630</v>
      </c>
      <c r="DK1" t="s">
        <v>718</v>
      </c>
      <c r="DL1" s="706" t="s">
        <v>725</v>
      </c>
      <c r="DM1" s="696" t="s">
        <v>1631</v>
      </c>
      <c r="DN1" s="697" t="s">
        <v>1632</v>
      </c>
      <c r="DO1" s="697" t="s">
        <v>1632</v>
      </c>
      <c r="DP1" s="697" t="s">
        <v>1632</v>
      </c>
      <c r="DQ1" s="697" t="s">
        <v>1632</v>
      </c>
      <c r="DR1" s="697" t="s">
        <v>1633</v>
      </c>
      <c r="DS1" s="697" t="s">
        <v>1634</v>
      </c>
      <c r="DT1" s="707" t="s">
        <v>893</v>
      </c>
      <c r="DU1" s="707" t="s">
        <v>895</v>
      </c>
      <c r="DV1" s="707" t="s">
        <v>1635</v>
      </c>
      <c r="DW1" s="707" t="s">
        <v>1636</v>
      </c>
      <c r="DX1" s="707" t="s">
        <v>1637</v>
      </c>
      <c r="DY1" s="707" t="s">
        <v>901</v>
      </c>
      <c r="DZ1" s="707" t="s">
        <v>1638</v>
      </c>
      <c r="EA1" s="707" t="s">
        <v>1639</v>
      </c>
      <c r="EB1" s="707" t="s">
        <v>1640</v>
      </c>
      <c r="EC1" s="698" t="s">
        <v>959</v>
      </c>
      <c r="ED1" s="698" t="s">
        <v>961</v>
      </c>
      <c r="EE1" s="698" t="s">
        <v>963</v>
      </c>
      <c r="EF1" s="698" t="s">
        <v>965</v>
      </c>
      <c r="EG1" s="698" t="s">
        <v>1641</v>
      </c>
      <c r="EH1" s="698" t="s">
        <v>1642</v>
      </c>
      <c r="EI1" s="698" t="s">
        <v>1643</v>
      </c>
      <c r="EJ1" s="698" t="s">
        <v>1644</v>
      </c>
      <c r="EK1" s="698" t="s">
        <v>1645</v>
      </c>
      <c r="EL1" s="698" t="s">
        <v>1646</v>
      </c>
      <c r="EM1" s="698" t="s">
        <v>1647</v>
      </c>
      <c r="EN1" s="698" t="s">
        <v>1648</v>
      </c>
      <c r="EO1" s="698" t="s">
        <v>1649</v>
      </c>
      <c r="EP1" s="698" t="s">
        <v>1650</v>
      </c>
      <c r="EQ1" s="708" t="s">
        <v>1105</v>
      </c>
      <c r="ER1" s="708" t="s">
        <v>1106</v>
      </c>
      <c r="ES1" s="708" t="s">
        <v>1651</v>
      </c>
      <c r="ET1" s="708" t="s">
        <v>1652</v>
      </c>
      <c r="EU1" s="708" t="s">
        <v>1653</v>
      </c>
      <c r="EV1" s="708" t="s">
        <v>1654</v>
      </c>
      <c r="EW1" s="708" t="s">
        <v>1655</v>
      </c>
      <c r="EX1" s="708" t="s">
        <v>1656</v>
      </c>
      <c r="EY1" s="708" t="s">
        <v>1657</v>
      </c>
      <c r="EZ1" s="708" t="s">
        <v>1658</v>
      </c>
      <c r="FA1" s="708" t="s">
        <v>1659</v>
      </c>
      <c r="FB1" s="708" t="s">
        <v>1660</v>
      </c>
      <c r="FC1" s="708" t="s">
        <v>1661</v>
      </c>
      <c r="FD1" s="708" t="s">
        <v>1662</v>
      </c>
      <c r="FE1" s="708" t="s">
        <v>1663</v>
      </c>
      <c r="FF1" s="699" t="s">
        <v>1664</v>
      </c>
      <c r="FG1" s="699" t="s">
        <v>1000</v>
      </c>
      <c r="FH1" s="699" t="s">
        <v>1665</v>
      </c>
      <c r="FI1" s="699" t="s">
        <v>1666</v>
      </c>
      <c r="FJ1" s="699" t="s">
        <v>1667</v>
      </c>
      <c r="FK1" s="699" t="s">
        <v>1668</v>
      </c>
      <c r="FL1" s="699" t="s">
        <v>1669</v>
      </c>
      <c r="FM1" s="699" t="s">
        <v>1670</v>
      </c>
      <c r="FN1" s="699" t="s">
        <v>1671</v>
      </c>
      <c r="FO1" s="699" t="s">
        <v>1672</v>
      </c>
      <c r="FP1" s="699" t="s">
        <v>1673</v>
      </c>
      <c r="FQ1" s="699" t="s">
        <v>1674</v>
      </c>
      <c r="FR1" s="699" t="s">
        <v>1675</v>
      </c>
      <c r="FS1" s="699" t="s">
        <v>1676</v>
      </c>
      <c r="FT1" s="699" t="s">
        <v>1677</v>
      </c>
      <c r="FU1" s="699" t="s">
        <v>1678</v>
      </c>
      <c r="FV1" s="699" t="s">
        <v>1676</v>
      </c>
      <c r="FW1" s="699" t="s">
        <v>1679</v>
      </c>
      <c r="FX1" s="699" t="s">
        <v>1680</v>
      </c>
      <c r="FY1" s="699" t="s">
        <v>1681</v>
      </c>
      <c r="FZ1" s="699" t="s">
        <v>1682</v>
      </c>
      <c r="GA1" s="699" t="s">
        <v>1683</v>
      </c>
      <c r="GB1" s="699" t="s">
        <v>1684</v>
      </c>
      <c r="GC1" s="699" t="s">
        <v>1685</v>
      </c>
      <c r="GD1" s="699" t="s">
        <v>1686</v>
      </c>
      <c r="GE1" s="699" t="s">
        <v>1687</v>
      </c>
      <c r="GF1" s="699" t="s">
        <v>1688</v>
      </c>
      <c r="GG1" s="699" t="s">
        <v>1689</v>
      </c>
      <c r="GH1" s="699" t="s">
        <v>1690</v>
      </c>
      <c r="GI1" s="699" t="s">
        <v>1691</v>
      </c>
      <c r="GJ1" s="699" t="s">
        <v>1692</v>
      </c>
      <c r="GK1" s="699" t="s">
        <v>1693</v>
      </c>
      <c r="GL1" s="699" t="s">
        <v>1694</v>
      </c>
      <c r="GM1" s="699" t="s">
        <v>1695</v>
      </c>
      <c r="GN1" s="699" t="s">
        <v>1696</v>
      </c>
      <c r="GO1" s="699" t="s">
        <v>1697</v>
      </c>
      <c r="GP1" s="699" t="s">
        <v>1698</v>
      </c>
      <c r="GQ1" s="699" t="s">
        <v>1699</v>
      </c>
      <c r="GR1" s="699" t="s">
        <v>1700</v>
      </c>
      <c r="GS1" s="699" t="s">
        <v>1701</v>
      </c>
      <c r="GT1" s="699" t="s">
        <v>1702</v>
      </c>
      <c r="GU1" s="699" t="s">
        <v>1703</v>
      </c>
      <c r="GV1" s="699" t="s">
        <v>1704</v>
      </c>
      <c r="GW1" s="825" t="s">
        <v>1705</v>
      </c>
      <c r="GX1" s="708" t="s">
        <v>1706</v>
      </c>
      <c r="GY1" s="708" t="s">
        <v>1707</v>
      </c>
      <c r="GZ1" s="708" t="s">
        <v>1708</v>
      </c>
      <c r="HA1" s="708" t="s">
        <v>1709</v>
      </c>
      <c r="HB1" s="821" t="s">
        <v>1710</v>
      </c>
      <c r="HC1" s="821" t="s">
        <v>1711</v>
      </c>
      <c r="HD1" s="821" t="s">
        <v>1712</v>
      </c>
      <c r="HE1" t="s">
        <v>1713</v>
      </c>
      <c r="HF1" t="s">
        <v>1714</v>
      </c>
      <c r="HG1" t="s">
        <v>1715</v>
      </c>
      <c r="HH1" t="s">
        <v>1716</v>
      </c>
      <c r="HI1" t="s">
        <v>1717</v>
      </c>
      <c r="HJ1" t="s">
        <v>1718</v>
      </c>
      <c r="HK1" t="s">
        <v>1719</v>
      </c>
      <c r="HL1" t="s">
        <v>1720</v>
      </c>
      <c r="HM1" t="s">
        <v>1721</v>
      </c>
      <c r="HN1" t="s">
        <v>1722</v>
      </c>
      <c r="HO1" t="s">
        <v>1723</v>
      </c>
      <c r="HP1" t="s">
        <v>1724</v>
      </c>
      <c r="HQ1" t="s">
        <v>1725</v>
      </c>
      <c r="HR1" t="s">
        <v>1726</v>
      </c>
      <c r="HS1" t="s">
        <v>1727</v>
      </c>
      <c r="HT1" t="s">
        <v>1728</v>
      </c>
      <c r="HU1" t="s">
        <v>1729</v>
      </c>
      <c r="HV1" t="s">
        <v>1730</v>
      </c>
      <c r="HW1" s="703" t="s">
        <v>1731</v>
      </c>
      <c r="HX1" s="703" t="s">
        <v>1732</v>
      </c>
      <c r="HY1" s="703" t="s">
        <v>1733</v>
      </c>
      <c r="HZ1" s="704" t="s">
        <v>1734</v>
      </c>
      <c r="IA1" s="704" t="s">
        <v>1735</v>
      </c>
      <c r="IB1" s="704" t="s">
        <v>1736</v>
      </c>
      <c r="IC1" t="s">
        <v>1737</v>
      </c>
      <c r="ID1" t="s">
        <v>1738</v>
      </c>
      <c r="IE1" t="s">
        <v>1739</v>
      </c>
      <c r="IF1" t="s">
        <v>1740</v>
      </c>
      <c r="IG1" t="s">
        <v>1741</v>
      </c>
      <c r="IH1" t="s">
        <v>1742</v>
      </c>
      <c r="II1" t="s">
        <v>1743</v>
      </c>
      <c r="IJ1" t="s">
        <v>1744</v>
      </c>
      <c r="IK1" t="s">
        <v>1745</v>
      </c>
      <c r="IL1" t="s">
        <v>1746</v>
      </c>
      <c r="IM1" t="s">
        <v>1747</v>
      </c>
      <c r="IN1" t="s">
        <v>1748</v>
      </c>
      <c r="IO1" s="705" t="s">
        <v>1749</v>
      </c>
      <c r="IP1" s="705" t="s">
        <v>1750</v>
      </c>
      <c r="IQ1" s="705" t="s">
        <v>1751</v>
      </c>
      <c r="IR1" t="s">
        <v>1752</v>
      </c>
      <c r="IS1" t="s">
        <v>1753</v>
      </c>
      <c r="IT1" t="s">
        <v>1754</v>
      </c>
      <c r="IU1" t="s">
        <v>1755</v>
      </c>
      <c r="IV1" t="s">
        <v>1756</v>
      </c>
      <c r="IW1" t="s">
        <v>1757</v>
      </c>
      <c r="IX1" t="s">
        <v>1758</v>
      </c>
      <c r="IY1" t="s">
        <v>1759</v>
      </c>
      <c r="IZ1" t="s">
        <v>1760</v>
      </c>
      <c r="JA1" t="s">
        <v>1761</v>
      </c>
      <c r="JB1" t="s">
        <v>1762</v>
      </c>
      <c r="JC1" t="s">
        <v>1763</v>
      </c>
      <c r="JD1" s="704" t="s">
        <v>1764</v>
      </c>
      <c r="JE1" s="704" t="s">
        <v>1765</v>
      </c>
      <c r="JF1" s="704" t="s">
        <v>1766</v>
      </c>
      <c r="JG1" t="s">
        <v>1767</v>
      </c>
      <c r="JH1" t="s">
        <v>1768</v>
      </c>
      <c r="JI1" t="s">
        <v>1769</v>
      </c>
      <c r="JJ1" s="704" t="s">
        <v>1770</v>
      </c>
      <c r="JK1" s="704" t="s">
        <v>1771</v>
      </c>
      <c r="JL1" s="704" t="s">
        <v>1772</v>
      </c>
      <c r="JM1" s="705" t="s">
        <v>1773</v>
      </c>
      <c r="JN1" s="705" t="s">
        <v>1774</v>
      </c>
      <c r="JO1" s="705" t="s">
        <v>1775</v>
      </c>
      <c r="JP1" t="s">
        <v>1776</v>
      </c>
      <c r="JQ1" t="s">
        <v>1777</v>
      </c>
      <c r="JR1" t="s">
        <v>1778</v>
      </c>
      <c r="JS1" s="704" t="s">
        <v>1779</v>
      </c>
      <c r="JT1" s="704" t="s">
        <v>1780</v>
      </c>
      <c r="JU1" s="704" t="s">
        <v>1781</v>
      </c>
      <c r="JV1" s="705" t="s">
        <v>1782</v>
      </c>
      <c r="JW1" s="705" t="s">
        <v>1783</v>
      </c>
      <c r="JX1" s="705" t="s">
        <v>1784</v>
      </c>
      <c r="JY1" s="704" t="s">
        <v>1785</v>
      </c>
      <c r="JZ1" s="704" t="s">
        <v>1786</v>
      </c>
      <c r="KA1" s="704" t="s">
        <v>1787</v>
      </c>
      <c r="KB1" s="705" t="s">
        <v>1788</v>
      </c>
      <c r="KC1" s="705" t="s">
        <v>1789</v>
      </c>
      <c r="KD1" s="705" t="s">
        <v>1790</v>
      </c>
      <c r="KE1" s="705" t="s">
        <v>1791</v>
      </c>
      <c r="KF1" s="705" t="s">
        <v>1792</v>
      </c>
      <c r="KG1" s="705" t="s">
        <v>1793</v>
      </c>
      <c r="KH1" s="705" t="s">
        <v>1794</v>
      </c>
      <c r="KI1" s="705" t="s">
        <v>1795</v>
      </c>
      <c r="KJ1" s="705" t="s">
        <v>1796</v>
      </c>
      <c r="KK1" s="705" t="s">
        <v>1797</v>
      </c>
      <c r="KL1" s="705" t="s">
        <v>1798</v>
      </c>
      <c r="KM1" s="705" t="s">
        <v>1799</v>
      </c>
      <c r="KN1" s="705" t="s">
        <v>1800</v>
      </c>
      <c r="KO1" s="705" t="s">
        <v>1801</v>
      </c>
      <c r="KP1" s="705" t="s">
        <v>1802</v>
      </c>
      <c r="KQ1" s="703" t="s">
        <v>1803</v>
      </c>
      <c r="KR1" s="703" t="s">
        <v>1804</v>
      </c>
      <c r="KS1" s="703" t="s">
        <v>1805</v>
      </c>
      <c r="KT1" t="s">
        <v>1803</v>
      </c>
      <c r="KU1" t="s">
        <v>1804</v>
      </c>
      <c r="KV1" t="s">
        <v>1805</v>
      </c>
      <c r="KW1" t="s">
        <v>1806</v>
      </c>
      <c r="KX1" t="s">
        <v>1807</v>
      </c>
      <c r="KY1" t="s">
        <v>1808</v>
      </c>
      <c r="KZ1" t="s">
        <v>1809</v>
      </c>
      <c r="LA1" t="s">
        <v>1810</v>
      </c>
      <c r="LB1" t="s">
        <v>1811</v>
      </c>
      <c r="LC1" t="s">
        <v>1812</v>
      </c>
      <c r="LD1" t="s">
        <v>1813</v>
      </c>
      <c r="LE1" t="s">
        <v>1814</v>
      </c>
      <c r="LF1" t="s">
        <v>1815</v>
      </c>
      <c r="LG1" t="s">
        <v>1816</v>
      </c>
      <c r="LH1" t="s">
        <v>1817</v>
      </c>
      <c r="LI1" t="s">
        <v>1818</v>
      </c>
      <c r="LJ1" t="s">
        <v>1819</v>
      </c>
      <c r="LK1" t="s">
        <v>1820</v>
      </c>
      <c r="LL1" t="s">
        <v>1821</v>
      </c>
      <c r="LM1" t="s">
        <v>1822</v>
      </c>
      <c r="LN1" t="s">
        <v>1823</v>
      </c>
      <c r="LO1" t="s">
        <v>1824</v>
      </c>
      <c r="LP1" t="s">
        <v>1825</v>
      </c>
      <c r="LQ1" t="s">
        <v>1826</v>
      </c>
      <c r="LR1" t="s">
        <v>1824</v>
      </c>
      <c r="LS1" t="s">
        <v>1825</v>
      </c>
      <c r="LT1" t="s">
        <v>1826</v>
      </c>
      <c r="LU1" t="s">
        <v>1827</v>
      </c>
      <c r="LV1" t="s">
        <v>1828</v>
      </c>
      <c r="LW1" t="s">
        <v>1829</v>
      </c>
      <c r="LX1" t="s">
        <v>1830</v>
      </c>
      <c r="LY1" t="s">
        <v>1831</v>
      </c>
      <c r="LZ1" t="s">
        <v>1832</v>
      </c>
      <c r="MA1" t="s">
        <v>1833</v>
      </c>
      <c r="MB1" t="s">
        <v>1834</v>
      </c>
      <c r="MC1" t="s">
        <v>1835</v>
      </c>
      <c r="MD1" t="s">
        <v>1836</v>
      </c>
      <c r="ME1" t="s">
        <v>1837</v>
      </c>
      <c r="MF1" t="s">
        <v>1838</v>
      </c>
      <c r="MG1" t="s">
        <v>1839</v>
      </c>
      <c r="MH1" t="s">
        <v>1840</v>
      </c>
      <c r="MI1" t="s">
        <v>1841</v>
      </c>
      <c r="MJ1" t="s">
        <v>1842</v>
      </c>
      <c r="MK1" t="s">
        <v>1843</v>
      </c>
      <c r="ML1" t="s">
        <v>1844</v>
      </c>
      <c r="MM1" s="703" t="s">
        <v>1845</v>
      </c>
      <c r="MN1" s="703" t="s">
        <v>1846</v>
      </c>
      <c r="MO1" s="703" t="s">
        <v>1847</v>
      </c>
      <c r="MP1" t="s">
        <v>1848</v>
      </c>
      <c r="MQ1" t="s">
        <v>1849</v>
      </c>
      <c r="MR1" t="s">
        <v>1850</v>
      </c>
      <c r="MS1" t="s">
        <v>1851</v>
      </c>
      <c r="MT1" t="s">
        <v>1852</v>
      </c>
      <c r="MU1" t="s">
        <v>1853</v>
      </c>
      <c r="MV1" t="s">
        <v>1854</v>
      </c>
      <c r="MW1" t="s">
        <v>1855</v>
      </c>
      <c r="MX1" t="s">
        <v>1856</v>
      </c>
      <c r="MY1" t="s">
        <v>1857</v>
      </c>
      <c r="MZ1" t="s">
        <v>1858</v>
      </c>
      <c r="NA1" t="s">
        <v>1859</v>
      </c>
      <c r="NB1" t="s">
        <v>1860</v>
      </c>
      <c r="NC1" t="s">
        <v>1861</v>
      </c>
      <c r="ND1" t="s">
        <v>1862</v>
      </c>
      <c r="NE1" t="s">
        <v>1863</v>
      </c>
      <c r="NF1" t="s">
        <v>1864</v>
      </c>
      <c r="NG1" t="s">
        <v>1865</v>
      </c>
      <c r="NH1" t="s">
        <v>1866</v>
      </c>
      <c r="NI1" t="s">
        <v>1867</v>
      </c>
      <c r="NJ1" t="s">
        <v>1868</v>
      </c>
      <c r="NK1" t="s">
        <v>1869</v>
      </c>
      <c r="NL1" t="s">
        <v>1870</v>
      </c>
      <c r="NM1" t="s">
        <v>1871</v>
      </c>
      <c r="NN1" t="s">
        <v>1809</v>
      </c>
      <c r="NO1" t="s">
        <v>1810</v>
      </c>
      <c r="NP1" t="s">
        <v>1811</v>
      </c>
      <c r="NQ1" t="s">
        <v>1872</v>
      </c>
      <c r="NR1" t="s">
        <v>1873</v>
      </c>
      <c r="NS1" t="s">
        <v>1874</v>
      </c>
      <c r="NT1" s="703" t="s">
        <v>1875</v>
      </c>
      <c r="NU1" s="703" t="s">
        <v>1876</v>
      </c>
      <c r="NV1" s="703" t="s">
        <v>1877</v>
      </c>
      <c r="NW1" t="s">
        <v>1878</v>
      </c>
      <c r="NX1" t="s">
        <v>1879</v>
      </c>
      <c r="NY1" t="s">
        <v>1880</v>
      </c>
      <c r="NZ1" t="s">
        <v>1881</v>
      </c>
      <c r="OA1" t="s">
        <v>1882</v>
      </c>
      <c r="OB1" t="s">
        <v>1883</v>
      </c>
      <c r="OC1" t="s">
        <v>1884</v>
      </c>
      <c r="OD1" t="s">
        <v>1885</v>
      </c>
      <c r="OE1" t="s">
        <v>1886</v>
      </c>
      <c r="OF1" t="s">
        <v>1887</v>
      </c>
      <c r="OG1" t="s">
        <v>1888</v>
      </c>
      <c r="OH1" t="s">
        <v>1889</v>
      </c>
      <c r="OI1" t="s">
        <v>1890</v>
      </c>
      <c r="OJ1" t="s">
        <v>1891</v>
      </c>
      <c r="OK1" t="s">
        <v>1892</v>
      </c>
      <c r="OL1" s="703" t="s">
        <v>1893</v>
      </c>
      <c r="OM1" s="703" t="s">
        <v>1894</v>
      </c>
      <c r="ON1" s="703" t="s">
        <v>1895</v>
      </c>
      <c r="OO1" s="705" t="s">
        <v>1896</v>
      </c>
      <c r="OP1" s="705" t="s">
        <v>1897</v>
      </c>
      <c r="OQ1" s="705" t="s">
        <v>1898</v>
      </c>
      <c r="OR1" t="s">
        <v>1899</v>
      </c>
      <c r="OS1" t="s">
        <v>1900</v>
      </c>
      <c r="OT1" t="s">
        <v>1901</v>
      </c>
      <c r="OU1" t="s">
        <v>1902</v>
      </c>
      <c r="OV1" t="s">
        <v>1903</v>
      </c>
      <c r="OW1" t="s">
        <v>1904</v>
      </c>
      <c r="OX1" t="s">
        <v>1905</v>
      </c>
      <c r="OY1" t="s">
        <v>1906</v>
      </c>
      <c r="OZ1" t="s">
        <v>1907</v>
      </c>
      <c r="PA1" t="s">
        <v>1908</v>
      </c>
      <c r="PB1" t="s">
        <v>1909</v>
      </c>
      <c r="PC1" t="s">
        <v>1910</v>
      </c>
      <c r="PD1" t="s">
        <v>1911</v>
      </c>
      <c r="PE1" t="s">
        <v>1912</v>
      </c>
      <c r="PF1" t="s">
        <v>1913</v>
      </c>
      <c r="PG1" t="s">
        <v>1914</v>
      </c>
      <c r="PH1" t="s">
        <v>1915</v>
      </c>
      <c r="PI1" t="s">
        <v>1916</v>
      </c>
      <c r="PJ1" s="170" t="s">
        <v>1917</v>
      </c>
      <c r="PK1" s="170" t="s">
        <v>1918</v>
      </c>
      <c r="PL1" s="170" t="s">
        <v>1919</v>
      </c>
      <c r="PM1" t="s">
        <v>1920</v>
      </c>
      <c r="PN1" t="s">
        <v>1921</v>
      </c>
      <c r="PO1" t="s">
        <v>1922</v>
      </c>
      <c r="PP1" s="705" t="s">
        <v>1923</v>
      </c>
      <c r="PQ1" s="705" t="s">
        <v>1924</v>
      </c>
      <c r="PR1" s="705" t="s">
        <v>1925</v>
      </c>
      <c r="PS1" s="703" t="s">
        <v>1926</v>
      </c>
      <c r="PT1" s="703" t="s">
        <v>1927</v>
      </c>
      <c r="PU1" s="703" t="s">
        <v>1928</v>
      </c>
      <c r="PV1" t="s">
        <v>1929</v>
      </c>
      <c r="PW1" t="s">
        <v>1930</v>
      </c>
      <c r="PX1" t="s">
        <v>1931</v>
      </c>
      <c r="PY1" t="s">
        <v>1932</v>
      </c>
      <c r="PZ1" t="s">
        <v>1933</v>
      </c>
      <c r="QA1" t="s">
        <v>1934</v>
      </c>
      <c r="QB1" t="s">
        <v>1935</v>
      </c>
      <c r="QC1" t="s">
        <v>1936</v>
      </c>
      <c r="QD1" t="s">
        <v>1937</v>
      </c>
      <c r="QE1" t="s">
        <v>1938</v>
      </c>
      <c r="QF1" t="s">
        <v>1939</v>
      </c>
      <c r="QG1" t="s">
        <v>1940</v>
      </c>
      <c r="QH1" t="s">
        <v>1941</v>
      </c>
      <c r="QI1" t="s">
        <v>1942</v>
      </c>
      <c r="QJ1" t="s">
        <v>1943</v>
      </c>
      <c r="QK1" t="s">
        <v>1944</v>
      </c>
      <c r="QL1" t="s">
        <v>1945</v>
      </c>
      <c r="QM1" t="s">
        <v>1946</v>
      </c>
      <c r="QN1" t="s">
        <v>1947</v>
      </c>
      <c r="QO1" t="s">
        <v>1948</v>
      </c>
      <c r="QP1" t="s">
        <v>1949</v>
      </c>
      <c r="QQ1" t="s">
        <v>1950</v>
      </c>
      <c r="QR1" t="s">
        <v>1951</v>
      </c>
      <c r="QS1" t="s">
        <v>1952</v>
      </c>
      <c r="QT1" t="s">
        <v>1953</v>
      </c>
      <c r="QU1" t="s">
        <v>1954</v>
      </c>
      <c r="QV1" t="s">
        <v>1955</v>
      </c>
      <c r="QW1" t="s">
        <v>1956</v>
      </c>
      <c r="QX1" t="s">
        <v>1957</v>
      </c>
      <c r="QY1" t="s">
        <v>1958</v>
      </c>
      <c r="QZ1" s="703" t="s">
        <v>1959</v>
      </c>
      <c r="RA1" s="703" t="s">
        <v>1960</v>
      </c>
      <c r="RB1" s="703" t="s">
        <v>1961</v>
      </c>
      <c r="RC1" t="s">
        <v>1962</v>
      </c>
      <c r="RD1" t="s">
        <v>1963</v>
      </c>
      <c r="RE1" t="s">
        <v>1964</v>
      </c>
      <c r="RF1" s="705" t="s">
        <v>1965</v>
      </c>
      <c r="RG1" s="705" t="s">
        <v>1966</v>
      </c>
      <c r="RH1" s="705" t="s">
        <v>1967</v>
      </c>
      <c r="RI1" s="705" t="s">
        <v>1968</v>
      </c>
      <c r="RJ1" s="705" t="s">
        <v>1969</v>
      </c>
      <c r="RK1" s="705" t="s">
        <v>1970</v>
      </c>
      <c r="RL1" s="705" t="s">
        <v>1971</v>
      </c>
      <c r="RM1" s="705" t="s">
        <v>1972</v>
      </c>
      <c r="RN1" s="705" t="s">
        <v>1973</v>
      </c>
      <c r="RO1" s="705" t="s">
        <v>1974</v>
      </c>
      <c r="RP1" s="705" t="s">
        <v>1975</v>
      </c>
      <c r="RQ1" s="705" t="s">
        <v>1976</v>
      </c>
      <c r="RR1" s="705" t="s">
        <v>1977</v>
      </c>
      <c r="RS1" s="705" t="s">
        <v>1978</v>
      </c>
      <c r="RT1" s="705" t="s">
        <v>1979</v>
      </c>
      <c r="RU1" s="702" t="s">
        <v>1980</v>
      </c>
      <c r="RV1" s="702" t="s">
        <v>1981</v>
      </c>
      <c r="RW1" s="702" t="s">
        <v>1982</v>
      </c>
      <c r="RX1" s="705" t="s">
        <v>1983</v>
      </c>
      <c r="RY1" s="705" t="s">
        <v>1984</v>
      </c>
      <c r="RZ1" s="705" t="s">
        <v>1985</v>
      </c>
      <c r="SA1" s="705" t="s">
        <v>1986</v>
      </c>
      <c r="SB1" s="705" t="s">
        <v>1987</v>
      </c>
      <c r="SC1" s="705" t="s">
        <v>1988</v>
      </c>
      <c r="SD1" s="705" t="s">
        <v>1989</v>
      </c>
      <c r="SE1" s="705" t="s">
        <v>1990</v>
      </c>
      <c r="SF1" s="705" t="s">
        <v>1991</v>
      </c>
      <c r="SG1" t="s">
        <v>1992</v>
      </c>
      <c r="SH1" t="s">
        <v>1993</v>
      </c>
      <c r="SI1" t="s">
        <v>1994</v>
      </c>
      <c r="SJ1" s="705" t="s">
        <v>1995</v>
      </c>
      <c r="SK1" s="705" t="s">
        <v>1996</v>
      </c>
      <c r="SL1" s="705" t="s">
        <v>1997</v>
      </c>
      <c r="SM1" t="s">
        <v>1998</v>
      </c>
      <c r="SN1" t="s">
        <v>1999</v>
      </c>
      <c r="SO1" t="s">
        <v>2000</v>
      </c>
      <c r="SP1" t="s">
        <v>2001</v>
      </c>
      <c r="SQ1" t="s">
        <v>2002</v>
      </c>
      <c r="SR1" t="s">
        <v>2003</v>
      </c>
      <c r="SS1" s="170" t="s">
        <v>2004</v>
      </c>
      <c r="ST1" s="170" t="s">
        <v>2005</v>
      </c>
      <c r="SU1" s="170" t="s">
        <v>2006</v>
      </c>
      <c r="SV1" s="703" t="s">
        <v>2007</v>
      </c>
      <c r="SW1" s="703" t="s">
        <v>2008</v>
      </c>
      <c r="SX1" s="703" t="s">
        <v>2009</v>
      </c>
      <c r="SY1" t="s">
        <v>2010</v>
      </c>
      <c r="SZ1" t="s">
        <v>2011</v>
      </c>
      <c r="TA1" t="s">
        <v>2012</v>
      </c>
      <c r="TB1" s="705" t="s">
        <v>2013</v>
      </c>
      <c r="TC1" s="705" t="s">
        <v>2014</v>
      </c>
      <c r="TD1" s="705" t="s">
        <v>2015</v>
      </c>
      <c r="TE1" t="s">
        <v>2016</v>
      </c>
      <c r="TF1" t="s">
        <v>2017</v>
      </c>
      <c r="TG1" t="s">
        <v>2018</v>
      </c>
      <c r="TH1" t="s">
        <v>2019</v>
      </c>
      <c r="TI1" t="s">
        <v>2020</v>
      </c>
      <c r="TJ1" t="s">
        <v>2021</v>
      </c>
      <c r="TK1" t="s">
        <v>2022</v>
      </c>
      <c r="TL1" t="s">
        <v>2023</v>
      </c>
      <c r="TM1" t="s">
        <v>2024</v>
      </c>
      <c r="TN1" s="170" t="s">
        <v>2025</v>
      </c>
      <c r="TO1" s="170" t="s">
        <v>2026</v>
      </c>
      <c r="TP1" s="170" t="s">
        <v>2027</v>
      </c>
      <c r="TQ1" t="s">
        <v>2028</v>
      </c>
      <c r="TR1" t="s">
        <v>2029</v>
      </c>
      <c r="TS1" t="s">
        <v>2030</v>
      </c>
      <c r="TT1" t="s">
        <v>39</v>
      </c>
      <c r="TU1" t="s">
        <v>776</v>
      </c>
      <c r="TV1" t="s">
        <v>778</v>
      </c>
      <c r="TW1" t="s">
        <v>211</v>
      </c>
      <c r="TX1" t="s">
        <v>782</v>
      </c>
      <c r="TY1" t="s">
        <v>784</v>
      </c>
      <c r="TZ1" t="s">
        <v>785</v>
      </c>
      <c r="UA1" t="s">
        <v>786</v>
      </c>
      <c r="UB1" t="s">
        <v>789</v>
      </c>
      <c r="UC1" t="s">
        <v>791</v>
      </c>
      <c r="UD1" t="s">
        <v>793</v>
      </c>
      <c r="UE1" t="s">
        <v>795</v>
      </c>
      <c r="UF1" t="s">
        <v>797</v>
      </c>
      <c r="UG1" t="s">
        <v>2031</v>
      </c>
      <c r="UH1" t="s">
        <v>2032</v>
      </c>
      <c r="UI1" t="s">
        <v>2033</v>
      </c>
      <c r="UJ1" t="s">
        <v>794</v>
      </c>
      <c r="UK1" s="822" t="s">
        <v>2034</v>
      </c>
      <c r="UL1" s="822" t="s">
        <v>2035</v>
      </c>
      <c r="UM1" s="822" t="s">
        <v>2036</v>
      </c>
      <c r="UN1" s="822" t="s">
        <v>2037</v>
      </c>
      <c r="UO1" s="822" t="s">
        <v>2038</v>
      </c>
      <c r="UP1" s="822" t="s">
        <v>2039</v>
      </c>
      <c r="UQ1" s="822" t="s">
        <v>2040</v>
      </c>
      <c r="UR1" s="822" t="s">
        <v>821</v>
      </c>
      <c r="US1" s="822" t="s">
        <v>795</v>
      </c>
      <c r="UT1" s="822" t="s">
        <v>793</v>
      </c>
      <c r="UU1" s="822" t="s">
        <v>2041</v>
      </c>
      <c r="UV1" s="822" t="s">
        <v>2042</v>
      </c>
      <c r="UW1" s="822" t="s">
        <v>2043</v>
      </c>
      <c r="UX1" s="822" t="s">
        <v>2044</v>
      </c>
      <c r="UY1" s="822" t="s">
        <v>2045</v>
      </c>
      <c r="UZ1" s="822" t="s">
        <v>2046</v>
      </c>
      <c r="VA1" s="822" t="s">
        <v>2047</v>
      </c>
      <c r="VB1" s="822" t="s">
        <v>2048</v>
      </c>
      <c r="VC1" s="822" t="s">
        <v>2049</v>
      </c>
      <c r="VD1" s="822" t="s">
        <v>2050</v>
      </c>
      <c r="VE1" s="822" t="s">
        <v>2051</v>
      </c>
      <c r="VF1" s="822" t="s">
        <v>2052</v>
      </c>
      <c r="VG1" s="822" t="s">
        <v>2053</v>
      </c>
      <c r="VH1" s="822" t="s">
        <v>2054</v>
      </c>
      <c r="VI1" s="822" t="s">
        <v>2055</v>
      </c>
      <c r="VJ1" s="822" t="s">
        <v>2056</v>
      </c>
      <c r="VK1" s="822" t="s">
        <v>2057</v>
      </c>
      <c r="VL1" s="822" t="s">
        <v>2058</v>
      </c>
      <c r="VM1" s="822" t="s">
        <v>2059</v>
      </c>
      <c r="VN1" s="822" t="s">
        <v>2060</v>
      </c>
      <c r="VO1" s="822" t="s">
        <v>2061</v>
      </c>
      <c r="VP1" s="822" t="s">
        <v>2062</v>
      </c>
      <c r="VQ1" s="822" t="s">
        <v>2063</v>
      </c>
      <c r="VR1" s="822" t="s">
        <v>2064</v>
      </c>
      <c r="VS1" s="822" t="s">
        <v>2065</v>
      </c>
      <c r="VT1" s="822" t="s">
        <v>2066</v>
      </c>
      <c r="VU1" s="822" t="s">
        <v>2067</v>
      </c>
      <c r="VV1" s="822" t="s">
        <v>2068</v>
      </c>
      <c r="VW1" s="822" t="s">
        <v>2069</v>
      </c>
      <c r="VX1" s="822" t="s">
        <v>2070</v>
      </c>
      <c r="VY1" s="822" t="s">
        <v>2071</v>
      </c>
      <c r="VZ1" s="822" t="s">
        <v>2072</v>
      </c>
      <c r="WA1" s="822" t="s">
        <v>2073</v>
      </c>
      <c r="WB1" s="822" t="s">
        <v>2074</v>
      </c>
      <c r="WC1" s="822" t="s">
        <v>2075</v>
      </c>
      <c r="WD1" s="822" t="s">
        <v>2076</v>
      </c>
      <c r="WE1" s="822" t="s">
        <v>2077</v>
      </c>
      <c r="WF1" s="822" t="s">
        <v>2078</v>
      </c>
      <c r="WG1" s="822" t="s">
        <v>2079</v>
      </c>
      <c r="WH1" s="822" t="s">
        <v>2080</v>
      </c>
      <c r="WI1" s="822" t="s">
        <v>2081</v>
      </c>
      <c r="WJ1" s="822" t="s">
        <v>2082</v>
      </c>
      <c r="WK1" s="822" t="s">
        <v>2083</v>
      </c>
      <c r="WL1" s="822" t="s">
        <v>2084</v>
      </c>
      <c r="WM1" s="822" t="s">
        <v>2085</v>
      </c>
    </row>
    <row r="2" spans="1:611" ht="15" customHeight="1" x14ac:dyDescent="0.35">
      <c r="A2" s="693">
        <f>+Indice!W16</f>
        <v>8</v>
      </c>
      <c r="B2" s="693" t="str">
        <f>+Indice!$W$15</f>
        <v>ABC</v>
      </c>
      <c r="C2" s="693" t="str">
        <f>+Indice!W19</f>
        <v>Medellín por Antioquia</v>
      </c>
      <c r="D2" t="str">
        <f>Indice!W21</f>
        <v>ACB</v>
      </c>
      <c r="E2">
        <f>'Situación actual'!N8</f>
        <v>2.5</v>
      </c>
      <c r="F2">
        <f>'Situación actual'!N9</f>
        <v>0</v>
      </c>
      <c r="G2">
        <f>'Situación actual'!N10</f>
        <v>0</v>
      </c>
      <c r="H2">
        <f>'Situación actual'!N11</f>
        <v>5</v>
      </c>
      <c r="I2">
        <f>'Situación actual'!N12</f>
        <v>0</v>
      </c>
      <c r="J2">
        <f>'Situación actual'!N13</f>
        <v>0</v>
      </c>
      <c r="K2">
        <f>'Situación actual'!N14</f>
        <v>0</v>
      </c>
      <c r="L2">
        <f>'Situación actual'!N15</f>
        <v>2</v>
      </c>
      <c r="M2">
        <f>'Situación actual'!N16</f>
        <v>2</v>
      </c>
      <c r="N2">
        <f>'Situación actual'!N17</f>
        <v>2</v>
      </c>
      <c r="O2">
        <f>'Situación actual'!N18</f>
        <v>0</v>
      </c>
      <c r="P2">
        <f>'Situación actual'!N19</f>
        <v>0</v>
      </c>
      <c r="Q2">
        <f>'Situación actual'!N20</f>
        <v>0</v>
      </c>
      <c r="R2">
        <f>'Situación actual'!N21</f>
        <v>0</v>
      </c>
      <c r="S2">
        <f>'Situación actual'!N22</f>
        <v>0</v>
      </c>
      <c r="T2">
        <f>'Situación actual'!N23</f>
        <v>0</v>
      </c>
      <c r="U2">
        <f>'Situación actual'!N24</f>
        <v>0</v>
      </c>
      <c r="V2">
        <f>'Situación actual'!N25</f>
        <v>0</v>
      </c>
      <c r="W2">
        <f>'Situación actual'!N26</f>
        <v>0</v>
      </c>
      <c r="X2">
        <f>'Situación actual'!N27</f>
        <v>0</v>
      </c>
      <c r="Y2">
        <f>'Situación actual'!N28</f>
        <v>0</v>
      </c>
      <c r="Z2">
        <f>'Situación actual'!N29</f>
        <v>0</v>
      </c>
      <c r="AA2">
        <f>'Situación actual'!N30</f>
        <v>0</v>
      </c>
      <c r="AB2">
        <f>'Situación actual'!N31</f>
        <v>0</v>
      </c>
      <c r="AC2">
        <f>'Situación actual'!N32</f>
        <v>0</v>
      </c>
      <c r="AD2">
        <f>'Situación actual'!N33</f>
        <v>0</v>
      </c>
      <c r="AE2">
        <f>'Situación actual'!N34</f>
        <v>0</v>
      </c>
      <c r="AF2">
        <f>'Situación actual'!N35</f>
        <v>0</v>
      </c>
      <c r="AG2">
        <f>'Situación actual'!N36</f>
        <v>0</v>
      </c>
      <c r="AH2">
        <f>'Situación actual'!N37</f>
        <v>0</v>
      </c>
      <c r="AI2">
        <f>'Situación actual'!N38</f>
        <v>0</v>
      </c>
      <c r="AJ2">
        <f>'Situación actual'!N39</f>
        <v>0</v>
      </c>
      <c r="AK2">
        <f>'Situación actual'!N40</f>
        <v>0</v>
      </c>
      <c r="AL2">
        <f>'Situación actual'!N41</f>
        <v>0</v>
      </c>
      <c r="AM2">
        <f>'Situación actual'!N42</f>
        <v>0</v>
      </c>
      <c r="AN2">
        <f>'Situación actual'!N43</f>
        <v>0</v>
      </c>
      <c r="AO2">
        <f>'Situación actual'!N44</f>
        <v>0</v>
      </c>
      <c r="AP2">
        <f>'Situación actual'!N45</f>
        <v>0</v>
      </c>
      <c r="AQ2">
        <f>'Situación actual'!N46</f>
        <v>0</v>
      </c>
      <c r="AR2">
        <f>'Situación actual'!N47</f>
        <v>0</v>
      </c>
      <c r="AS2">
        <f>'Situación actual'!N48</f>
        <v>0</v>
      </c>
      <c r="AT2">
        <f>'Situación actual'!N49</f>
        <v>0</v>
      </c>
      <c r="AU2">
        <f>'Situación actual'!N50</f>
        <v>0</v>
      </c>
      <c r="AV2">
        <f>'Situación actual'!N51</f>
        <v>0</v>
      </c>
      <c r="AW2">
        <f>'Situación actual'!N52</f>
        <v>0</v>
      </c>
      <c r="AX2">
        <f>'Situación actual'!N53</f>
        <v>0</v>
      </c>
      <c r="AY2">
        <f>'Situación actual'!N54</f>
        <v>0</v>
      </c>
      <c r="AZ2">
        <f>'Situación actual'!N55</f>
        <v>4.6363636363636367</v>
      </c>
      <c r="BA2">
        <f>'Situación actual'!N56</f>
        <v>5</v>
      </c>
      <c r="BB2">
        <f>'Situación actual'!N57</f>
        <v>5</v>
      </c>
      <c r="BC2">
        <f>'Situación actual'!N58</f>
        <v>5</v>
      </c>
      <c r="BD2">
        <f>'Situación actual'!N59</f>
        <v>5</v>
      </c>
      <c r="BE2">
        <f>'Situación actual'!N60</f>
        <v>5</v>
      </c>
      <c r="BF2">
        <f>'Situación actual'!N61</f>
        <v>5</v>
      </c>
      <c r="BG2">
        <f>'Situación actual'!N62</f>
        <v>5</v>
      </c>
      <c r="BH2">
        <f>'Situación actual'!N63</f>
        <v>5</v>
      </c>
      <c r="BI2">
        <f>'Situación actual'!N64</f>
        <v>5</v>
      </c>
      <c r="BJ2">
        <f>'Situación actual'!N65</f>
        <v>6</v>
      </c>
      <c r="BK2">
        <f>'Situación actual'!N68</f>
        <v>1</v>
      </c>
      <c r="BL2">
        <f>'Situación actual'!N69</f>
        <v>1</v>
      </c>
      <c r="BM2">
        <f>'Situación actual'!N70</f>
        <v>1</v>
      </c>
      <c r="BN2">
        <f>'Situación actual'!N71</f>
        <v>1</v>
      </c>
      <c r="BO2">
        <f>'Situación actual'!N72</f>
        <v>1</v>
      </c>
      <c r="BP2">
        <f>'Situación actual'!N73</f>
        <v>1</v>
      </c>
      <c r="BQ2">
        <f>'Situación actual'!N75</f>
        <v>2.3333333333333335</v>
      </c>
      <c r="BR2">
        <f>'Situación actual'!N76</f>
        <v>0</v>
      </c>
      <c r="BS2">
        <f>'Situación actual'!N77</f>
        <v>0</v>
      </c>
      <c r="BT2">
        <f>'Situación actual'!N78</f>
        <v>1</v>
      </c>
      <c r="BU2">
        <f>'Situación actual'!N79</f>
        <v>0</v>
      </c>
      <c r="BV2">
        <f>'Situación actual'!N80</f>
        <v>0</v>
      </c>
      <c r="BW2">
        <f>'Situación actual'!N81</f>
        <v>0</v>
      </c>
      <c r="BX2">
        <f>'Situación actual'!N82</f>
        <v>0</v>
      </c>
      <c r="BY2">
        <f>'Situación actual'!N83</f>
        <v>0</v>
      </c>
      <c r="BZ2">
        <f>'Situación actual'!N84</f>
        <v>5</v>
      </c>
      <c r="CA2">
        <f>'Situación actual'!N85</f>
        <v>1</v>
      </c>
      <c r="CB2">
        <f>'Situación actual'!N86</f>
        <v>0</v>
      </c>
      <c r="CC2">
        <f>'Situación actual'!N87</f>
        <v>3</v>
      </c>
      <c r="CD2">
        <f>'Situación actual'!N88</f>
        <v>5</v>
      </c>
      <c r="CE2">
        <f>'Situación actual'!N89</f>
        <v>1</v>
      </c>
      <c r="CF2">
        <f>'Situación actual'!N90</f>
        <v>0</v>
      </c>
      <c r="CG2">
        <f>'Situación actual'!N91</f>
        <v>0</v>
      </c>
      <c r="CH2">
        <f>'Situación actual'!N92</f>
        <v>0</v>
      </c>
      <c r="CI2">
        <f>'Situación actual'!N93</f>
        <v>0</v>
      </c>
      <c r="CJ2">
        <f>'Situación actual'!N94</f>
        <v>0</v>
      </c>
      <c r="CK2">
        <f>'Situación actual'!N95</f>
        <v>0</v>
      </c>
      <c r="CL2">
        <f>'Situación actual'!N96</f>
        <v>0</v>
      </c>
      <c r="CM2">
        <f>'Situación actual'!N97</f>
        <v>0</v>
      </c>
      <c r="CN2">
        <f>'Situación actual'!N98</f>
        <v>4.2</v>
      </c>
      <c r="CO2">
        <f>'Situación actual'!N99</f>
        <v>5</v>
      </c>
      <c r="CP2">
        <f>'Situación actual'!N100</f>
        <v>0</v>
      </c>
      <c r="CQ2">
        <f>'Situación actual'!N101</f>
        <v>0</v>
      </c>
      <c r="CR2">
        <f>'Situación actual'!N102</f>
        <v>0</v>
      </c>
      <c r="CS2">
        <f>'Situación actual'!N103</f>
        <v>0</v>
      </c>
      <c r="CT2">
        <f>'Situación actual'!N104</f>
        <v>0</v>
      </c>
      <c r="CU2">
        <f>'Situación actual'!N105</f>
        <v>0</v>
      </c>
      <c r="CV2">
        <f>'Situación actual'!N106</f>
        <v>0</v>
      </c>
      <c r="CW2">
        <f>'Situación actual'!N107</f>
        <v>0</v>
      </c>
      <c r="CX2">
        <f>'Situación actual'!N108</f>
        <v>0</v>
      </c>
      <c r="CY2">
        <f>'Situación actual'!N109</f>
        <v>5</v>
      </c>
      <c r="CZ2">
        <f>'Situación actual'!N110</f>
        <v>0</v>
      </c>
      <c r="DA2">
        <f>'Situación actual'!N111</f>
        <v>5</v>
      </c>
      <c r="DB2">
        <f>'Situación actual'!N112</f>
        <v>5</v>
      </c>
      <c r="DC2">
        <f>'Situación actual'!N113</f>
        <v>1</v>
      </c>
      <c r="DD2">
        <f>'Situación actual'!N114</f>
        <v>5</v>
      </c>
      <c r="DE2">
        <f>'Situación actual'!N115</f>
        <v>5</v>
      </c>
      <c r="DF2">
        <f>'Situación actual'!N116</f>
        <v>0</v>
      </c>
      <c r="DG2">
        <f>'Situación actual'!N117</f>
        <v>5</v>
      </c>
      <c r="DH2">
        <f>'Situación actual'!N118</f>
        <v>5</v>
      </c>
      <c r="DI2">
        <f>'Situación actual'!N119</f>
        <v>5</v>
      </c>
      <c r="DJ2">
        <f>'Situación actual'!N120</f>
        <v>0</v>
      </c>
      <c r="DK2">
        <f>'Situación actual'!N121</f>
        <v>5</v>
      </c>
      <c r="DL2" s="706">
        <f>'Situación actual'!N122</f>
        <v>5</v>
      </c>
      <c r="DM2" t="str">
        <f>+'1. V.Inicial- DX (Gestor)'!C55</f>
        <v>Productividad operacional</v>
      </c>
      <c r="DN2" t="str">
        <f>+'1. V.Inicial- DX (Gestor)'!$C30</f>
        <v xml:space="preserve">1.           </v>
      </c>
      <c r="DO2" t="str">
        <f>+'1. V.Inicial- DX (Gestor)'!$C31</f>
        <v>2.</v>
      </c>
      <c r="DP2" t="str">
        <f>+'1. V.Inicial- DX (Gestor)'!$C32</f>
        <v>3.</v>
      </c>
      <c r="DQ2" t="str">
        <f>+'1. V.Inicial- DX (Gestor)'!$C33</f>
        <v>4.</v>
      </c>
      <c r="DR2">
        <f>'1. V.Inicial- DX (Gestor)'!C54</f>
        <v>0</v>
      </c>
      <c r="DS2" t="str">
        <f>'1. V.Inicial- DX (Gestor)'!C55</f>
        <v>Productividad operacional</v>
      </c>
      <c r="DT2">
        <f>'1. V.Inicial- DX (Gestor)'!C56</f>
        <v>0</v>
      </c>
      <c r="DU2">
        <f>'1. V.Inicial- DX (Gestor)'!F59</f>
        <v>0</v>
      </c>
      <c r="DV2">
        <f>'1. V.Inicial- DX (Gestor)'!L59</f>
        <v>0</v>
      </c>
      <c r="DW2">
        <f>'1. V.Inicial- DX (Gestor)'!F60</f>
        <v>0</v>
      </c>
      <c r="DX2">
        <f>'1. V.Inicial- DX (Gestor)'!L60</f>
        <v>0</v>
      </c>
      <c r="DY2">
        <f>'1. V.Inicial- DX (Gestor)'!D64</f>
        <v>0</v>
      </c>
      <c r="DZ2">
        <f>'1. V.Inicial- DX (Gestor)'!H64</f>
        <v>0</v>
      </c>
      <c r="EA2">
        <f>'1. V.Inicial- DX (Gestor)'!L64</f>
        <v>0</v>
      </c>
      <c r="EB2" t="str">
        <f>'1. V.Inicial- DX (Gestor)'!D65</f>
        <v xml:space="preserve">1. Experiencia </v>
      </c>
      <c r="EC2" t="str">
        <f>+'2. Plan de Trabajo (Ext)'!D36</f>
        <v>Definir la estrategia de TD e implementar una de sus iniciativas estrategicas (ChatBot: Canal de comunicación automatizado de cara al cliente)</v>
      </c>
      <c r="ED2" t="str">
        <f>+'2. Plan de Trabajo (Ext)'!D37</f>
        <v xml:space="preserve">Proceso de Soporte al cliente: De acuerdo con la estrategia de Transformación Digital y el mapa de experiencia del cliente se identifica una oportunidad de mejora en el proceso de soporte de la empresa. El cliente cuando solicita un soporte por vía telefónica dura alrededor de 45 minutos en la llamada y es el proceso en el cual su satisfacción es del 23% </v>
      </c>
      <c r="EE2" t="str">
        <f>+'2. Plan de Trabajo (Ext)'!D38</f>
        <v>Apoyo transversal</v>
      </c>
      <c r="EF2" t="str">
        <f>+'2. Plan de Trabajo (Ext)'!D39</f>
        <v>SCRUM</v>
      </c>
      <c r="EG2" t="str">
        <f>+'2. Plan de Trabajo (Ext)'!B45</f>
        <v xml:space="preserve"> Elaboración de herramienta informática de información en línea de la trazabilidad y seguimiento de la producción que permita medir continuamente los indicadores de tiempo de ciclo, productividad por puesto de trabajo y eficiencia por operador.</v>
      </c>
      <c r="EH2" t="str">
        <f>+'2. Plan de Trabajo (Ext)'!B52</f>
        <v xml:space="preserve"> Establecer estrategias de aprovechamiento de los tiempos subutilizados por los operarios en las máquinas de Inyección (23%), con operaciones de manualidad. Seguimiento a través de la herramienta de información en línea. </v>
      </c>
      <c r="EI2" t="str">
        <f>+'2. Plan de Trabajo (Ext)'!B59</f>
        <v xml:space="preserve"> Aplicar estrategias que permita organización, limpieza y disciplina en los puestos de trabajo, mediante la herramienta cinco eses en la planta productiva.</v>
      </c>
      <c r="EJ2" t="str">
        <f>+'2. Plan de Trabajo (Ext)'!B66</f>
        <v xml:space="preserve"> Independizar la bodega de producto terminado del proceso de producción, apoyándose en el cargo de Coordinador de bodega y despachos, elaboración del documento procedimiento de entradas y salidas de Bodega. </v>
      </c>
      <c r="EK2">
        <f>'2. Plan de Trabajo (Ext)'!B72</f>
        <v>0</v>
      </c>
      <c r="EL2">
        <f>'2. Plan de Trabajo (Ext)'!C78</f>
        <v>0</v>
      </c>
      <c r="EM2">
        <f>'2. Plan de Trabajo (Ext)'!C84</f>
        <v>0</v>
      </c>
      <c r="EN2">
        <f>'2. Plan de Trabajo (Ext)'!C90</f>
        <v>0</v>
      </c>
      <c r="EO2">
        <f>'2. Plan de Trabajo (Ext)'!C96</f>
        <v>0</v>
      </c>
      <c r="EP2">
        <f>'2. Plan de Trabajo (Ext)'!C102</f>
        <v>0</v>
      </c>
      <c r="EQ2">
        <f>'4. Acta de Cierre (Ext)'!D18</f>
        <v>0</v>
      </c>
      <c r="ER2">
        <f>'4. Acta de Cierre (Ext)'!L18</f>
        <v>0</v>
      </c>
      <c r="ES2">
        <f>'4. Acta de Cierre (Ext)'!B32</f>
        <v>0</v>
      </c>
      <c r="ET2">
        <f>'4. Acta de Cierre (Ext)'!B36</f>
        <v>0</v>
      </c>
      <c r="EU2">
        <f>'4. Acta de Cierre (Ext)'!B37</f>
        <v>0</v>
      </c>
      <c r="EV2">
        <f>'4. Acta de Cierre (Ext)'!$B38</f>
        <v>0</v>
      </c>
      <c r="EW2">
        <f>'4. Acta de Cierre (Ext)'!$B39</f>
        <v>0</v>
      </c>
      <c r="EX2">
        <f>+'4. Acta de Cierre (Ext)'!B37</f>
        <v>0</v>
      </c>
      <c r="EY2">
        <f>'4. Acta de Cierre (Ext)'!H32</f>
        <v>0</v>
      </c>
      <c r="EZ2">
        <f>'4. Acta de Cierre (Ext)'!H36</f>
        <v>0</v>
      </c>
      <c r="FA2">
        <f>'4. Acta de Cierre (Ext)'!H37</f>
        <v>0</v>
      </c>
      <c r="FB2">
        <f>'4. Acta de Cierre (Ext)'!H38</f>
        <v>0</v>
      </c>
      <c r="FC2">
        <f>+'4. Acta de Cierre (Ext)'!H37</f>
        <v>0</v>
      </c>
      <c r="FD2">
        <f>'4. Acta de Cierre (Ext)'!H39</f>
        <v>0</v>
      </c>
      <c r="FE2">
        <f>'4. Acta de Cierre (Ext)'!B41</f>
        <v>0</v>
      </c>
      <c r="FF2" t="str">
        <f>+'4. Acta de Cierre (Ext)'!B47</f>
        <v>Reducción de tiempo de no valor agregado (TNVA)</v>
      </c>
      <c r="FG2" t="str">
        <f>+'4. Acta de Cierre (Ext)'!D47</f>
        <v>15 minutos</v>
      </c>
      <c r="FH2" s="700" t="str">
        <f>+'4. Acta de Cierre (Ext)'!F47</f>
        <v>45 minutos</v>
      </c>
      <c r="FI2" s="700" t="str">
        <f>+'4. Acta de Cierre (Ext)'!G47</f>
        <v>Los 45 minutos correponden al tiemplo empleado (TE) en el proceso, es el promedio de los meses de marzo y abril de 2019</v>
      </c>
      <c r="FJ2" s="701" t="str">
        <f>+'4. Acta de Cierre (Ext)'!G47</f>
        <v>Los 45 minutos correponden al tiemplo empleado (TE) en el proceso, es el promedio de los meses de marzo y abril de 2019</v>
      </c>
      <c r="FK2" s="701" t="str">
        <f>+'4. Acta de Cierre (Ext)'!H47</f>
        <v>20 Minutos</v>
      </c>
      <c r="FL2" s="700" t="str">
        <f>+'4. Acta de Cierre (Ext)'!I47</f>
        <v>15 minutos</v>
      </c>
      <c r="FM2" s="700" t="str">
        <f>+'4. Acta de Cierre (Ext)'!J47</f>
        <v>Promedio de los meses de febrero y marzo de 2020</v>
      </c>
      <c r="FN2" s="701">
        <f>+'4. Acta de Cierre (Ext)'!K47</f>
        <v>-0.66666666666666674</v>
      </c>
      <c r="FO2" s="701" t="str">
        <f>'4. Acta de Cierre (Ext)'!M47</f>
        <v>Se evidenció la apropiación de los clientes en cuanto a acogerse al ChatBot para recibir soporte se redujo la cantidad de llamadas en un 10% adicional y el tiempo promedio de soporte es de 15 minutos</v>
      </c>
      <c r="FP2" t="str">
        <f>+'4. Acta de Cierre (Ext)'!B48</f>
        <v>Ahorros generados por reducción de desperdicios (AD)</v>
      </c>
      <c r="FQ2" t="str">
        <f>+'4. Acta de Cierre (Ext)'!D48</f>
        <v>Coordinador de soporte    	8Horas
Agente 1     	8Horas
Agente 2   	4Horas</v>
      </c>
      <c r="FR2">
        <f>+'4. Acta de Cierre (Ext)'!F48</f>
        <v>400000</v>
      </c>
      <c r="FS2" t="str">
        <f>+'4. Acta de Cierre (Ext)'!G48</f>
        <v>El CTH es el promedio del mes de enero</v>
      </c>
      <c r="FT2">
        <f>+'4. Acta de Cierre (Ext)'!H48</f>
        <v>400000</v>
      </c>
      <c r="FU2">
        <f>+'4. Acta de Cierre (Ext)'!I48</f>
        <v>280000</v>
      </c>
      <c r="FV2" s="700" t="str">
        <f>+'4. Acta de Cierre (Ext)'!J48</f>
        <v>El CTH es el promedio del mes de marzo</v>
      </c>
      <c r="FW2" s="701">
        <f>+'4. Acta de Cierre (Ext)'!K48</f>
        <v>-0.30000000000000004</v>
      </c>
      <c r="FX2" s="701" t="str">
        <f>'4. Acta de Cierre (Ext)'!M48</f>
        <v xml:space="preserve">Se evidenció la apropiación de los clientes en cuanto a acogerse al Chatbot para recibir soporte se redujo la cantidad de llamadas en un 10% adicional y el tiempo promedio de soporte es de 15 minutos.
EL agente 3 Se reubicó para generar una mejor experiencia de ventas gracias a conocer los problemas recurrentes con los clientes </v>
      </c>
      <c r="FY2">
        <f>+'4. Acta de Cierre (Ext)'!B49</f>
        <v>0</v>
      </c>
      <c r="FZ2" t="str">
        <f>+'4. Acta de Cierre (Ext)'!D49</f>
        <v>Venta: 1 días
Soporte: 0 días
y Logistica: 1 días</v>
      </c>
      <c r="GA2">
        <f>+'4. Acta de Cierre (Ext)'!F49</f>
        <v>8</v>
      </c>
      <c r="GB2" t="str">
        <f>+'4. Acta de Cierre (Ext)'!G49</f>
        <v>EL Tiempo máximo de recuperación es el tiempo máximo que ha ocurrido de acuerdo al histórico de un evento de riesgo en el año 2019</v>
      </c>
      <c r="GC2">
        <f>+'4. Acta de Cierre (Ext)'!H49</f>
        <v>8</v>
      </c>
      <c r="GD2">
        <f>+'4. Acta de Cierre (Ext)'!I49</f>
        <v>2</v>
      </c>
      <c r="GE2" s="701">
        <f>+'4. Acta de Cierre (Ext)'!K49</f>
        <v>-0.75</v>
      </c>
      <c r="GF2" s="701" t="str">
        <f>'4. Acta de Cierre (Ext)'!M49</f>
        <v xml:space="preserve">El chatBot se actualiza para realizar procesos de venta y para dar información logística sobre el producto comprado. Se generó estrategia con la empresa de envío y se generó una bodega virtual con un stock como acción de continuidad en caso de materializarse un evento que afecte los procesos  y con el fin de reducir los tiempos de despacho del producto. Adicionalmente se selecciona e instala software que habilita el trabajo remoto. </v>
      </c>
      <c r="GG2" t="str">
        <f>+'4. Acta de Cierre (Ext)'!B50</f>
        <v>Tasa de Ventas</v>
      </c>
      <c r="GH2">
        <f>+'4. Acta de Cierre (Ext)'!D50</f>
        <v>0</v>
      </c>
      <c r="GI2">
        <f>+'4. Acta de Cierre (Ext)'!F50</f>
        <v>0</v>
      </c>
      <c r="GJ2">
        <f>+'4. Acta de Cierre (Ext)'!G50</f>
        <v>0</v>
      </c>
      <c r="GK2">
        <f>+'4. Acta de Cierre (Ext)'!H50</f>
        <v>0</v>
      </c>
      <c r="GL2">
        <f>+'4. Acta de Cierre (Ext)'!I50</f>
        <v>0</v>
      </c>
      <c r="GM2" s="701">
        <f>+'4. Acta de Cierre (Ext)'!K50</f>
        <v>0</v>
      </c>
      <c r="GN2" s="701">
        <f>'4. Acta de Cierre (Ext)'!M50</f>
        <v>0</v>
      </c>
      <c r="GO2">
        <f>+'4. Acta de Cierre (Ext)'!B51</f>
        <v>0</v>
      </c>
      <c r="GP2">
        <f>+'4. Acta de Cierre (Ext)'!D51</f>
        <v>0</v>
      </c>
      <c r="GQ2">
        <f>+'4. Acta de Cierre (Ext)'!F51</f>
        <v>0</v>
      </c>
      <c r="GR2">
        <f>+'4. Acta de Cierre (Ext)'!G51</f>
        <v>0</v>
      </c>
      <c r="GS2">
        <f>+'4. Acta de Cierre (Ext)'!H51</f>
        <v>0</v>
      </c>
      <c r="GT2">
        <f>+'4. Acta de Cierre (Ext)'!I51</f>
        <v>0</v>
      </c>
      <c r="GU2">
        <f>+'4. Acta de Cierre (Ext)'!K51</f>
        <v>0</v>
      </c>
      <c r="GV2">
        <f>'4. Acta de Cierre (Ext)'!M51</f>
        <v>0</v>
      </c>
      <c r="GW2" s="826">
        <f>'1'!E8</f>
        <v>0</v>
      </c>
      <c r="GX2">
        <f>'1'!F8</f>
        <v>0</v>
      </c>
      <c r="GY2">
        <f>'1'!G8</f>
        <v>0</v>
      </c>
      <c r="GZ2">
        <f>'1'!H8</f>
        <v>0</v>
      </c>
      <c r="HA2">
        <f>'1'!I8</f>
        <v>0</v>
      </c>
      <c r="HB2">
        <f>'Situación Futura'!L4</f>
        <v>0</v>
      </c>
      <c r="HC2">
        <f>'Situación Futura'!M4</f>
        <v>0</v>
      </c>
      <c r="HD2">
        <f>'Situación Futura'!N4</f>
        <v>0</v>
      </c>
      <c r="HE2">
        <f>'Situación Futura'!I5</f>
        <v>0</v>
      </c>
      <c r="HF2">
        <f>'Situación Futura'!J5</f>
        <v>0</v>
      </c>
      <c r="HG2">
        <f>'Situación Futura'!K5</f>
        <v>0</v>
      </c>
      <c r="HH2">
        <f>'Situación Futura'!I6</f>
        <v>0</v>
      </c>
      <c r="HI2">
        <f>'Situación Futura'!J6</f>
        <v>0</v>
      </c>
      <c r="HJ2">
        <f>'Situación Futura'!K6</f>
        <v>0</v>
      </c>
      <c r="HK2">
        <f>'Situación Futura'!I7</f>
        <v>0</v>
      </c>
      <c r="HL2">
        <f>'Situación Futura'!J7</f>
        <v>0</v>
      </c>
      <c r="HM2">
        <f>'Situación Futura'!K7</f>
        <v>0</v>
      </c>
      <c r="HN2">
        <f>'Situación Futura'!L8</f>
        <v>0</v>
      </c>
      <c r="HO2">
        <f>'Situación Futura'!J8</f>
        <v>0</v>
      </c>
      <c r="HP2">
        <f>'Situación Futura'!K8</f>
        <v>0</v>
      </c>
      <c r="HQ2">
        <f>'Situación Futura'!L9</f>
        <v>0</v>
      </c>
      <c r="HR2">
        <f>'Situación Futura'!J8</f>
        <v>0</v>
      </c>
      <c r="HS2">
        <f>'Situación Futura'!K8</f>
        <v>0</v>
      </c>
      <c r="HT2">
        <f>'Situación Futura'!L8</f>
        <v>0</v>
      </c>
      <c r="HU2">
        <f>'Situación Futura'!J8</f>
        <v>0</v>
      </c>
      <c r="HV2">
        <f>'Situación Futura'!K8</f>
        <v>0</v>
      </c>
      <c r="HW2">
        <f>'Situación Futura'!L12</f>
        <v>0</v>
      </c>
      <c r="HX2">
        <f>'Situación Futura'!M12</f>
        <v>0</v>
      </c>
      <c r="HY2">
        <f>'Situación Futura'!N12</f>
        <v>0</v>
      </c>
      <c r="HZ2">
        <f>'Situación Futura'!L13</f>
        <v>0</v>
      </c>
      <c r="IA2">
        <f>'Situación Futura'!M13</f>
        <v>0</v>
      </c>
      <c r="IB2">
        <f>'Situación Futura'!N13</f>
        <v>0</v>
      </c>
      <c r="IC2">
        <f>'Situación Futura'!I14</f>
        <v>0</v>
      </c>
      <c r="ID2">
        <f>'Situación Futura'!J14</f>
        <v>0</v>
      </c>
      <c r="IE2">
        <f>'Situación Futura'!K14</f>
        <v>0</v>
      </c>
      <c r="IF2">
        <f>'Situación Futura'!I15</f>
        <v>0</v>
      </c>
      <c r="IG2">
        <f>'Situación Futura'!J15</f>
        <v>0</v>
      </c>
      <c r="IH2">
        <f>'Situación Futura'!K15</f>
        <v>0</v>
      </c>
      <c r="II2">
        <f>'Situación Futura'!I16</f>
        <v>0</v>
      </c>
      <c r="IJ2">
        <f>'Situación Futura'!J16</f>
        <v>0</v>
      </c>
      <c r="IK2">
        <f>'Situación Futura'!K16</f>
        <v>0</v>
      </c>
      <c r="IL2">
        <f>'Situación Futura'!I17</f>
        <v>0</v>
      </c>
      <c r="IM2">
        <f>'Situación Futura'!J17</f>
        <v>0</v>
      </c>
      <c r="IN2">
        <f>'Situación Futura'!I17</f>
        <v>0</v>
      </c>
      <c r="IO2">
        <f>'Situación Futura'!I18</f>
        <v>0</v>
      </c>
      <c r="IP2">
        <f>'Situación Futura'!J18</f>
        <v>0</v>
      </c>
      <c r="IQ2">
        <f>'Situación Futura'!K18</f>
        <v>0</v>
      </c>
      <c r="IR2">
        <f>'Situación Futura'!I19</f>
        <v>0</v>
      </c>
      <c r="IS2">
        <f>'Situación Futura'!J19</f>
        <v>0</v>
      </c>
      <c r="IT2">
        <f>'Situación Futura'!K19</f>
        <v>0</v>
      </c>
      <c r="IU2">
        <f>'Situación Futura'!I20</f>
        <v>0</v>
      </c>
      <c r="IV2">
        <f>'Situación Futura'!J20</f>
        <v>0</v>
      </c>
      <c r="IW2">
        <f>'Situación Futura'!K20</f>
        <v>0</v>
      </c>
      <c r="IX2">
        <f>'Situación Futura'!I21</f>
        <v>0</v>
      </c>
      <c r="IY2">
        <f>'Situación Futura'!J21</f>
        <v>0</v>
      </c>
      <c r="IZ2">
        <f>'Situación Futura'!K21</f>
        <v>0</v>
      </c>
      <c r="JA2">
        <f>'Situación Futura'!I22</f>
        <v>0</v>
      </c>
      <c r="JB2">
        <f>'Situación Futura'!J22</f>
        <v>0</v>
      </c>
      <c r="JC2">
        <f>'Situación Futura'!K22</f>
        <v>0</v>
      </c>
      <c r="JD2">
        <f>'Situación Futura'!L22</f>
        <v>0</v>
      </c>
      <c r="JE2">
        <f>'Situación Futura'!M22</f>
        <v>0</v>
      </c>
      <c r="JF2">
        <f>'Situación Futura'!N22</f>
        <v>0</v>
      </c>
      <c r="JG2">
        <f>'Situación Futura'!I23</f>
        <v>0</v>
      </c>
      <c r="JH2">
        <f>'Situación Futura'!J23</f>
        <v>0</v>
      </c>
      <c r="JI2">
        <f>'Situación Futura'!K23</f>
        <v>0</v>
      </c>
      <c r="JJ2">
        <f>'Situación Futura'!L24</f>
        <v>0</v>
      </c>
      <c r="JK2">
        <f>'Situación Futura'!M24</f>
        <v>0</v>
      </c>
      <c r="JL2">
        <f>'Situación Futura'!N24</f>
        <v>0</v>
      </c>
      <c r="JM2">
        <f>'Situación Futura'!I25</f>
        <v>0</v>
      </c>
      <c r="JN2">
        <f>'Situación Futura'!J25</f>
        <v>0</v>
      </c>
      <c r="JO2">
        <f>'Situación Futura'!K25</f>
        <v>0</v>
      </c>
      <c r="JP2">
        <f>'Situación Futura'!I26</f>
        <v>0</v>
      </c>
      <c r="JQ2">
        <f>'Situación Futura'!J26</f>
        <v>0</v>
      </c>
      <c r="JR2">
        <f>'Situación Futura'!K26</f>
        <v>0</v>
      </c>
      <c r="JS2">
        <f>'Situación Futura'!L27</f>
        <v>0</v>
      </c>
      <c r="JT2">
        <f>'Situación Futura'!M27</f>
        <v>0</v>
      </c>
      <c r="JU2">
        <f>'Situación Futura'!N27</f>
        <v>0</v>
      </c>
      <c r="JV2">
        <f>'Situación Futura'!I28</f>
        <v>0</v>
      </c>
      <c r="JW2">
        <f>'Situación Futura'!J28</f>
        <v>0</v>
      </c>
      <c r="JX2">
        <f>'Situación Futura'!K28</f>
        <v>0</v>
      </c>
      <c r="JY2">
        <f>'Situación Futura'!L29</f>
        <v>0</v>
      </c>
      <c r="JZ2">
        <f>'Situación Futura'!M29</f>
        <v>0</v>
      </c>
      <c r="KA2">
        <f>'Situación Futura'!N29</f>
        <v>0</v>
      </c>
      <c r="KB2">
        <f>'Situación Futura'!I30</f>
        <v>0</v>
      </c>
      <c r="KC2">
        <f>'Situación Futura'!J30</f>
        <v>0</v>
      </c>
      <c r="KD2">
        <f>'Situación Futura'!K30</f>
        <v>0</v>
      </c>
      <c r="KE2">
        <f>'Situación Futura'!I31</f>
        <v>0</v>
      </c>
      <c r="KF2">
        <f>'Situación Futura'!J31</f>
        <v>0</v>
      </c>
      <c r="KG2">
        <f>'Situación Futura'!K31</f>
        <v>0</v>
      </c>
      <c r="KH2">
        <f>'Situación Futura'!I32</f>
        <v>0</v>
      </c>
      <c r="KI2">
        <f>'Situación Futura'!J32</f>
        <v>0</v>
      </c>
      <c r="KJ2">
        <f>'Situación Futura'!K32</f>
        <v>0</v>
      </c>
      <c r="KK2">
        <f>'Situación Futura'!I33</f>
        <v>0</v>
      </c>
      <c r="KL2">
        <f>'Situación Futura'!J33</f>
        <v>0</v>
      </c>
      <c r="KM2">
        <f>'Situación Futura'!K33</f>
        <v>0</v>
      </c>
      <c r="KN2">
        <f>'Situación Futura'!I34</f>
        <v>0</v>
      </c>
      <c r="KO2">
        <f>'Situación Futura'!J34</f>
        <v>0</v>
      </c>
      <c r="KP2">
        <f>'Situación Futura'!K34</f>
        <v>0</v>
      </c>
      <c r="KQ2">
        <f>'Situación Futura'!L35</f>
        <v>0</v>
      </c>
      <c r="KR2">
        <f>'Situación Futura'!M35</f>
        <v>0</v>
      </c>
      <c r="KS2">
        <f>'Situación Futura'!N35</f>
        <v>0</v>
      </c>
      <c r="KT2">
        <f>'Situación Futura'!I36</f>
        <v>0</v>
      </c>
      <c r="KU2">
        <f>'Situación Futura'!J36</f>
        <v>0</v>
      </c>
      <c r="KV2">
        <f>'Situación Futura'!K36</f>
        <v>0</v>
      </c>
      <c r="KW2">
        <f>'Situación Futura'!I37</f>
        <v>0</v>
      </c>
      <c r="KX2">
        <f>'Situación Futura'!J37</f>
        <v>0</v>
      </c>
      <c r="KY2">
        <f>'Situación Futura'!K37</f>
        <v>0</v>
      </c>
      <c r="KZ2">
        <f>'Situación Futura'!I38</f>
        <v>0</v>
      </c>
      <c r="LA2">
        <f>'Situación Futura'!J38</f>
        <v>0</v>
      </c>
      <c r="LB2">
        <f>'Situación Futura'!K38</f>
        <v>0</v>
      </c>
      <c r="LC2" cm="1">
        <f t="array" ref="LC2:LE2">'Situación Futura'!I39:K39</f>
        <v>0</v>
      </c>
      <c r="LD2">
        <v>0</v>
      </c>
      <c r="LE2">
        <v>0</v>
      </c>
      <c r="LF2">
        <f>'Situación Futura'!I40</f>
        <v>0</v>
      </c>
      <c r="LG2">
        <f>'Situación Futura'!J40</f>
        <v>0</v>
      </c>
      <c r="LH2">
        <f>'Situación Futura'!K40</f>
        <v>0</v>
      </c>
      <c r="LI2">
        <f>'Situación Futura'!I41</f>
        <v>0</v>
      </c>
      <c r="LJ2">
        <f>'Situación Futura'!J41</f>
        <v>0</v>
      </c>
      <c r="LK2">
        <f>'Situación Futura'!K41</f>
        <v>0</v>
      </c>
      <c r="LL2">
        <f>'Situación Futura'!I42</f>
        <v>0</v>
      </c>
      <c r="LM2">
        <f>'Situación Futura'!J42</f>
        <v>0</v>
      </c>
      <c r="LN2">
        <f>'Situación Futura'!K42</f>
        <v>0</v>
      </c>
      <c r="LO2">
        <f>'Situación Futura'!I43</f>
        <v>0</v>
      </c>
      <c r="LP2">
        <f>'Situación Futura'!J43</f>
        <v>0</v>
      </c>
      <c r="LQ2">
        <f>'Situación Futura'!K43</f>
        <v>0</v>
      </c>
      <c r="LR2">
        <f>'Situación Futura'!I44</f>
        <v>0</v>
      </c>
      <c r="LS2">
        <f>'Situación Futura'!J44</f>
        <v>0</v>
      </c>
      <c r="LT2">
        <f>'Situación Futura'!K44</f>
        <v>0</v>
      </c>
      <c r="LU2">
        <f>'Situación Futura'!I45</f>
        <v>0</v>
      </c>
      <c r="LV2">
        <f>'Situación Futura'!J45</f>
        <v>0</v>
      </c>
      <c r="LW2">
        <f>'Situación Futura'!K45</f>
        <v>0</v>
      </c>
      <c r="LX2">
        <f>'Situación Futura'!I46</f>
        <v>0</v>
      </c>
      <c r="LY2">
        <f>'Situación Futura'!J46</f>
        <v>0</v>
      </c>
      <c r="LZ2">
        <f>'Situación Futura'!K46</f>
        <v>0</v>
      </c>
      <c r="MA2">
        <f>'Situación Futura'!I47</f>
        <v>0</v>
      </c>
      <c r="MB2">
        <f>'Situación Futura'!J47</f>
        <v>0</v>
      </c>
      <c r="MC2">
        <f>'Situación Futura'!K47</f>
        <v>0</v>
      </c>
      <c r="MD2">
        <f>'Situación Futura'!I48</f>
        <v>0</v>
      </c>
      <c r="ME2">
        <f>'Situación Futura'!J48</f>
        <v>0</v>
      </c>
      <c r="MF2">
        <f>'Situación Futura'!K48</f>
        <v>0</v>
      </c>
      <c r="MG2">
        <f>'Situación Futura'!I49</f>
        <v>0</v>
      </c>
      <c r="MH2">
        <f>'Situación Futura'!J49</f>
        <v>0</v>
      </c>
      <c r="MI2">
        <f>'Situación Futura'!K49</f>
        <v>0</v>
      </c>
      <c r="MJ2">
        <f>'Situación Futura'!I50</f>
        <v>0</v>
      </c>
      <c r="MK2">
        <f>'Situación Futura'!J50</f>
        <v>0</v>
      </c>
      <c r="ML2">
        <f>'Situación Futura'!K50</f>
        <v>0</v>
      </c>
      <c r="MM2">
        <f>'Situación Futura'!L51</f>
        <v>5</v>
      </c>
      <c r="MN2">
        <f>'Situación Futura'!M51</f>
        <v>5</v>
      </c>
      <c r="MO2">
        <f>'Situación Futura'!N51</f>
        <v>5</v>
      </c>
      <c r="MP2">
        <f>'Situación Futura'!I52</f>
        <v>5</v>
      </c>
      <c r="MQ2">
        <f>'Situación Futura'!J52</f>
        <v>5</v>
      </c>
      <c r="MR2">
        <f>'Situación Futura'!K52</f>
        <v>5</v>
      </c>
      <c r="MS2">
        <f>'Situación Futura'!I53</f>
        <v>0</v>
      </c>
      <c r="MT2">
        <f>'Situación Futura'!J53</f>
        <v>0</v>
      </c>
      <c r="MU2">
        <f>'Situación Futura'!K53</f>
        <v>0</v>
      </c>
      <c r="MV2">
        <f>'Situación Futura'!I54</f>
        <v>0</v>
      </c>
      <c r="MW2">
        <f>'Situación Futura'!J54</f>
        <v>0</v>
      </c>
      <c r="MX2">
        <f>'Situación Futura'!K54</f>
        <v>0</v>
      </c>
      <c r="MY2">
        <f>'Situación Futura'!I55</f>
        <v>0</v>
      </c>
      <c r="MZ2">
        <f>'Situación Futura'!J55</f>
        <v>0</v>
      </c>
      <c r="NA2">
        <f>'Situación Futura'!K55</f>
        <v>0</v>
      </c>
      <c r="NB2">
        <f>'Situación Futura'!I56</f>
        <v>0</v>
      </c>
      <c r="NC2">
        <f>'Situación Futura'!J56</f>
        <v>0</v>
      </c>
      <c r="ND2">
        <f>'Situación Futura'!K56</f>
        <v>0</v>
      </c>
      <c r="NE2">
        <f>'Situación Futura'!I57</f>
        <v>0</v>
      </c>
      <c r="NF2">
        <f>'Situación Futura'!J57</f>
        <v>0</v>
      </c>
      <c r="NG2">
        <f>'Situación Futura'!K57</f>
        <v>0</v>
      </c>
      <c r="NH2">
        <f>'Situación Futura'!I58</f>
        <v>0</v>
      </c>
      <c r="NI2">
        <f>'Situación Futura'!J58</f>
        <v>0</v>
      </c>
      <c r="NJ2">
        <f>'Situación Futura'!K58</f>
        <v>0</v>
      </c>
      <c r="NK2">
        <f>'Situación Futura'!I59</f>
        <v>0</v>
      </c>
      <c r="NL2">
        <f>'Situación Futura'!J59</f>
        <v>0</v>
      </c>
      <c r="NM2">
        <f>'Situación Futura'!K59</f>
        <v>0</v>
      </c>
      <c r="NN2">
        <f>'Situación Futura'!I60</f>
        <v>0</v>
      </c>
      <c r="NO2">
        <f>'Situación Futura'!J60</f>
        <v>0</v>
      </c>
      <c r="NP2">
        <f>'Situación Futura'!K60</f>
        <v>0</v>
      </c>
      <c r="NQ2">
        <f>'Situación Futura'!I61</f>
        <v>0</v>
      </c>
      <c r="NR2">
        <f>'Situación Futura'!J61</f>
        <v>0</v>
      </c>
      <c r="NS2">
        <f>'Situación Futura'!K61</f>
        <v>0</v>
      </c>
      <c r="NT2">
        <f>'Situación Futura'!L64</f>
        <v>5</v>
      </c>
      <c r="NU2">
        <f>'Situación Futura'!M64</f>
        <v>5</v>
      </c>
      <c r="NV2">
        <f>'Situación Futura'!N64</f>
        <v>5</v>
      </c>
      <c r="NW2">
        <f>'Situación Futura'!I65</f>
        <v>5</v>
      </c>
      <c r="NX2">
        <f>'Situación Futura'!J65</f>
        <v>5</v>
      </c>
      <c r="NY2">
        <f>'Situación Futura'!K65</f>
        <v>5</v>
      </c>
      <c r="NZ2">
        <f>'Situación Futura'!I66</f>
        <v>0</v>
      </c>
      <c r="OA2">
        <f>'Situación Futura'!J66</f>
        <v>0</v>
      </c>
      <c r="OB2">
        <f>'Situación Futura'!K66</f>
        <v>0</v>
      </c>
      <c r="OC2">
        <f>'Situación Futura'!I67</f>
        <v>0</v>
      </c>
      <c r="OD2">
        <f>'Situación Futura'!J67</f>
        <v>0</v>
      </c>
      <c r="OE2">
        <f>'Situación Futura'!K67</f>
        <v>0</v>
      </c>
      <c r="OF2">
        <f>'Situación Futura'!I68</f>
        <v>0</v>
      </c>
      <c r="OG2">
        <f>'Situación Futura'!J68</f>
        <v>0</v>
      </c>
      <c r="OH2">
        <f>'Situación Futura'!K68</f>
        <v>0</v>
      </c>
      <c r="OI2">
        <f>'Situación Futura'!I69</f>
        <v>0</v>
      </c>
      <c r="OJ2">
        <f>'Situación Futura'!J69</f>
        <v>0</v>
      </c>
      <c r="OK2">
        <f>'Situación Futura'!K69</f>
        <v>0</v>
      </c>
      <c r="OL2">
        <f>'Situación Futura'!L71</f>
        <v>4</v>
      </c>
      <c r="OM2">
        <f>'Situación Futura'!M71</f>
        <v>4</v>
      </c>
      <c r="ON2">
        <f>'Situación Futura'!N71</f>
        <v>4</v>
      </c>
      <c r="OO2">
        <f>'Situación Futura'!I72</f>
        <v>5</v>
      </c>
      <c r="OP2">
        <f>'Situación Futura'!J72</f>
        <v>5</v>
      </c>
      <c r="OQ2">
        <f>'Situación Futura'!K72</f>
        <v>5</v>
      </c>
      <c r="OR2">
        <f>'Situación Futura'!I73</f>
        <v>4</v>
      </c>
      <c r="OS2">
        <f>'Situación Futura'!J73</f>
        <v>4</v>
      </c>
      <c r="OT2">
        <f>'Situación Futura'!K73</f>
        <v>4</v>
      </c>
      <c r="OU2">
        <f>'Situación Futura'!I74</f>
        <v>3</v>
      </c>
      <c r="OV2">
        <f>'Situación Futura'!J74</f>
        <v>3</v>
      </c>
      <c r="OW2">
        <f>'Situación Futura'!K74</f>
        <v>3</v>
      </c>
      <c r="OX2">
        <f>'Situación Futura'!I75</f>
        <v>0</v>
      </c>
      <c r="OY2">
        <f>'Situación Futura'!J75</f>
        <v>0</v>
      </c>
      <c r="OZ2">
        <f>'Situación Futura'!K75</f>
        <v>0</v>
      </c>
      <c r="PA2">
        <f>'Situación Futura'!I76</f>
        <v>0</v>
      </c>
      <c r="PB2">
        <f>'Situación Futura'!J76</f>
        <v>0</v>
      </c>
      <c r="PC2">
        <f>'Situación Futura'!K76</f>
        <v>0</v>
      </c>
      <c r="PD2">
        <f>'Situación Futura'!I77</f>
        <v>0</v>
      </c>
      <c r="PE2">
        <f>'Situación Futura'!J77</f>
        <v>0</v>
      </c>
      <c r="PF2">
        <f>'Situación Futura'!K77</f>
        <v>0</v>
      </c>
      <c r="PG2">
        <f>'Situación Futura'!I78</f>
        <v>0</v>
      </c>
      <c r="PH2">
        <f>'Situación Futura'!J78</f>
        <v>0</v>
      </c>
      <c r="PI2">
        <f>'Situación Futura'!K78</f>
        <v>0</v>
      </c>
      <c r="PJ2">
        <f>'Situación Futura'!I80</f>
        <v>0</v>
      </c>
      <c r="PK2">
        <f>'Situación Futura'!J80</f>
        <v>0</v>
      </c>
      <c r="PL2">
        <f>'Situación Futura'!K80</f>
        <v>0</v>
      </c>
      <c r="PM2">
        <f>'Situación Futura'!I81</f>
        <v>0</v>
      </c>
      <c r="PN2">
        <f>'Situación Futura'!J81</f>
        <v>0</v>
      </c>
      <c r="PO2">
        <f>'Situación Futura'!K81</f>
        <v>0</v>
      </c>
      <c r="PP2">
        <f>'Situación Futura'!I82</f>
        <v>0</v>
      </c>
      <c r="PQ2">
        <f>'Situación Futura'!J82</f>
        <v>0</v>
      </c>
      <c r="PR2">
        <f>'Situación Futura'!K82</f>
        <v>0</v>
      </c>
      <c r="PS2">
        <f>'Situación Futura'!L84</f>
        <v>5</v>
      </c>
      <c r="PT2">
        <f>'Situación Futura'!M84</f>
        <v>5</v>
      </c>
      <c r="PU2">
        <f>'Situación Futura'!N84</f>
        <v>5</v>
      </c>
      <c r="PV2">
        <f>'Situación Futura'!I85</f>
        <v>5</v>
      </c>
      <c r="PW2">
        <f>'Situación Futura'!J85</f>
        <v>5</v>
      </c>
      <c r="PX2">
        <f>'Situación Futura'!K85</f>
        <v>5</v>
      </c>
      <c r="PY2">
        <f>'Situación Futura'!I86</f>
        <v>0</v>
      </c>
      <c r="PZ2">
        <f>'Situación Futura'!J86</f>
        <v>0</v>
      </c>
      <c r="QA2">
        <f>'Situación Futura'!K86</f>
        <v>0</v>
      </c>
      <c r="QB2">
        <f>'Situación Futura'!I87</f>
        <v>0</v>
      </c>
      <c r="QC2">
        <f>'Situación Futura'!J87</f>
        <v>0</v>
      </c>
      <c r="QD2">
        <f>'Situación Futura'!K87</f>
        <v>0</v>
      </c>
      <c r="QE2">
        <f>'Situación Futura'!I88</f>
        <v>0</v>
      </c>
      <c r="QF2">
        <f>'Situación Futura'!J88</f>
        <v>0</v>
      </c>
      <c r="QG2">
        <f>'Situación Futura'!K88</f>
        <v>0</v>
      </c>
      <c r="QH2">
        <f>'Situación Futura'!I89</f>
        <v>0</v>
      </c>
      <c r="QI2">
        <f>'Situación Futura'!J89</f>
        <v>0</v>
      </c>
      <c r="QJ2">
        <f>'Situación Futura'!K89</f>
        <v>0</v>
      </c>
      <c r="QK2">
        <f>'Situación Futura'!I90</f>
        <v>0</v>
      </c>
      <c r="QL2">
        <f>'Situación Futura'!J90</f>
        <v>0</v>
      </c>
      <c r="QM2">
        <f>'Situación Futura'!K90</f>
        <v>0</v>
      </c>
      <c r="QN2">
        <f>'Situación Futura'!I91</f>
        <v>0</v>
      </c>
      <c r="QO2">
        <f>'Situación Futura'!J91</f>
        <v>0</v>
      </c>
      <c r="QP2">
        <f>'Situación Futura'!K91</f>
        <v>0</v>
      </c>
      <c r="QQ2">
        <f>'Situación Futura'!I92</f>
        <v>0</v>
      </c>
      <c r="QR2">
        <f>'Situación Futura'!J92</f>
        <v>0</v>
      </c>
      <c r="QS2">
        <f>'Situación Futura'!K92</f>
        <v>0</v>
      </c>
      <c r="QT2">
        <f>'Situación Futura'!I93</f>
        <v>0</v>
      </c>
      <c r="QU2">
        <f>'Situación Futura'!J93</f>
        <v>0</v>
      </c>
      <c r="QV2">
        <f>'Situación Futura'!K93</f>
        <v>0</v>
      </c>
      <c r="QW2">
        <f>'Situación Futura'!I94</f>
        <v>0</v>
      </c>
      <c r="QX2">
        <f>'Situación Futura'!J94</f>
        <v>0</v>
      </c>
      <c r="QY2">
        <f>'Situación Futura'!K94</f>
        <v>0</v>
      </c>
      <c r="QZ2">
        <f>'Situación Futura'!L95</f>
        <v>5</v>
      </c>
      <c r="RA2">
        <f>'Situación Futura'!M95</f>
        <v>5</v>
      </c>
      <c r="RB2">
        <f>'Situación Futura'!N95</f>
        <v>5</v>
      </c>
      <c r="RC2">
        <f>'Situación Futura'!I96</f>
        <v>5</v>
      </c>
      <c r="RD2">
        <f>'Situación Futura'!J96</f>
        <v>5</v>
      </c>
      <c r="RE2">
        <f>'Situación Futura'!K96</f>
        <v>5</v>
      </c>
      <c r="RF2">
        <f>'Situación Futura'!I97</f>
        <v>0</v>
      </c>
      <c r="RG2">
        <f>'Situación Futura'!J97</f>
        <v>0</v>
      </c>
      <c r="RH2">
        <f>'Situación Futura'!K97</f>
        <v>0</v>
      </c>
      <c r="RI2">
        <f>'Situación Futura'!I98</f>
        <v>0</v>
      </c>
      <c r="RJ2">
        <f>'Situación Futura'!J98</f>
        <v>0</v>
      </c>
      <c r="RK2">
        <f>'Situación Futura'!K98</f>
        <v>0</v>
      </c>
      <c r="RL2">
        <f>'Situación Futura'!I99</f>
        <v>0</v>
      </c>
      <c r="RM2">
        <f>'Situación Futura'!J99</f>
        <v>0</v>
      </c>
      <c r="RN2">
        <f>'Situación Futura'!K99</f>
        <v>0</v>
      </c>
      <c r="RO2">
        <f>'Situación Futura'!I100</f>
        <v>0</v>
      </c>
      <c r="RP2">
        <f>'Situación Futura'!J100</f>
        <v>0</v>
      </c>
      <c r="RQ2">
        <f>'Situación Futura'!K100</f>
        <v>0</v>
      </c>
      <c r="RR2">
        <f>'Situación Futura'!I101</f>
        <v>0</v>
      </c>
      <c r="RS2">
        <f>'Situación Futura'!J101</f>
        <v>0</v>
      </c>
      <c r="RT2">
        <f>'Situación Futura'!K101</f>
        <v>0</v>
      </c>
      <c r="RU2">
        <f>'Situación Futura'!I102</f>
        <v>0</v>
      </c>
      <c r="RV2">
        <f>'Situación Futura'!J102</f>
        <v>0</v>
      </c>
      <c r="RW2">
        <f>'Situación Futura'!K102</f>
        <v>0</v>
      </c>
      <c r="RX2">
        <f>'Situación Futura'!I102</f>
        <v>0</v>
      </c>
      <c r="RY2">
        <f>'Situación Futura'!J102</f>
        <v>0</v>
      </c>
      <c r="RZ2">
        <f>'Situación Futura'!K102</f>
        <v>0</v>
      </c>
      <c r="SA2">
        <f>'Situación Futura'!I104</f>
        <v>0</v>
      </c>
      <c r="SB2">
        <f>'Situación Futura'!J104</f>
        <v>0</v>
      </c>
      <c r="SC2">
        <f>'Situación Futura'!K104</f>
        <v>0</v>
      </c>
      <c r="SD2">
        <f>'Situación Futura'!I105</f>
        <v>0</v>
      </c>
      <c r="SE2">
        <f>'Situación Futura'!J105</f>
        <v>0</v>
      </c>
      <c r="SF2">
        <f>'Situación Futura'!K105</f>
        <v>0</v>
      </c>
      <c r="SG2">
        <f>'Situación Futura'!I106</f>
        <v>0</v>
      </c>
      <c r="SH2">
        <f>'Situación Futura'!J106</f>
        <v>0</v>
      </c>
      <c r="SI2">
        <f>'Situación Futura'!K106</f>
        <v>0</v>
      </c>
      <c r="SJ2">
        <f>'Situación Futura'!I107</f>
        <v>0</v>
      </c>
      <c r="SK2">
        <f>'Situación Futura'!J107</f>
        <v>0</v>
      </c>
      <c r="SL2">
        <f>'Situación Futura'!K107</f>
        <v>0</v>
      </c>
      <c r="SM2">
        <f>'Situación Futura'!I108</f>
        <v>0</v>
      </c>
      <c r="SN2">
        <f>'Situación Futura'!J108</f>
        <v>0</v>
      </c>
      <c r="SO2">
        <f>'Situación Futura'!K108</f>
        <v>0</v>
      </c>
      <c r="SP2">
        <f>'Situación Futura'!I109</f>
        <v>0</v>
      </c>
      <c r="SQ2">
        <f>'Situación Futura'!J109</f>
        <v>0</v>
      </c>
      <c r="SR2">
        <f>'Situación Futura'!K109</f>
        <v>0</v>
      </c>
      <c r="SS2">
        <f>'Situación Futura'!I110</f>
        <v>0</v>
      </c>
      <c r="ST2">
        <f>'Situación Futura'!J110</f>
        <v>0</v>
      </c>
      <c r="SU2">
        <f>'Situación Futura'!K110</f>
        <v>0</v>
      </c>
      <c r="SV2">
        <f>'Situación Futura'!L111</f>
        <v>5</v>
      </c>
      <c r="SW2">
        <f>'Situación Futura'!M111</f>
        <v>5</v>
      </c>
      <c r="SX2">
        <f>'Situación Futura'!N111</f>
        <v>5</v>
      </c>
      <c r="SY2">
        <f>'Situación Futura'!I112</f>
        <v>5</v>
      </c>
      <c r="SZ2">
        <f>'Situación Futura'!J112</f>
        <v>5</v>
      </c>
      <c r="TA2">
        <f>'Situación Futura'!K112</f>
        <v>5</v>
      </c>
      <c r="TB2">
        <f>'Situación Futura'!I113</f>
        <v>0</v>
      </c>
      <c r="TC2">
        <f>'Situación Futura'!J113</f>
        <v>0</v>
      </c>
      <c r="TD2">
        <f>'Situación Futura'!K113</f>
        <v>0</v>
      </c>
      <c r="TE2">
        <f>'Situación Futura'!I114</f>
        <v>0</v>
      </c>
      <c r="TF2">
        <f>'Situación Futura'!J114</f>
        <v>0</v>
      </c>
      <c r="TG2">
        <f>'Situación Futura'!K114</f>
        <v>0</v>
      </c>
      <c r="TH2">
        <f>'Situación Futura'!I115</f>
        <v>0</v>
      </c>
      <c r="TI2">
        <f>'Situación Futura'!J115</f>
        <v>0</v>
      </c>
      <c r="TJ2">
        <f>'Situación Futura'!K115</f>
        <v>0</v>
      </c>
      <c r="TK2">
        <f>'Situación Futura'!I116</f>
        <v>0</v>
      </c>
      <c r="TL2">
        <f>'Situación Futura'!J116</f>
        <v>0</v>
      </c>
      <c r="TM2">
        <f>'Situación Futura'!K116</f>
        <v>0</v>
      </c>
      <c r="TN2">
        <f>'Situación Futura'!I117</f>
        <v>0</v>
      </c>
      <c r="TO2">
        <f>'Situación Futura'!J117</f>
        <v>0</v>
      </c>
      <c r="TP2">
        <f>'Situación Futura'!K117</f>
        <v>0</v>
      </c>
      <c r="TQ2">
        <f>'Situación Futura'!I118</f>
        <v>0</v>
      </c>
      <c r="TR2">
        <f>'Situación Futura'!J118</f>
        <v>0</v>
      </c>
      <c r="TS2">
        <f>'Situación Futura'!K118</f>
        <v>0</v>
      </c>
      <c r="TT2">
        <f>Matriz!C9</f>
        <v>2</v>
      </c>
      <c r="TU2">
        <f>Matriz!C10</f>
        <v>1</v>
      </c>
      <c r="TV2">
        <f>Matriz!C11</f>
        <v>1</v>
      </c>
      <c r="TW2">
        <f>Matriz!C12</f>
        <v>0</v>
      </c>
      <c r="TX2">
        <f>Matriz!C13</f>
        <v>0.66666666666666663</v>
      </c>
      <c r="TY2" t="str">
        <f>Matriz!C14</f>
        <v>NA</v>
      </c>
      <c r="TZ2">
        <f>Matriz!C15</f>
        <v>0</v>
      </c>
      <c r="UA2">
        <f>Matriz!C16</f>
        <v>0</v>
      </c>
      <c r="UB2">
        <f>Matriz!C17</f>
        <v>0</v>
      </c>
      <c r="UC2">
        <f>Matriz!C18</f>
        <v>5</v>
      </c>
      <c r="UD2">
        <f>Matriz!C19</f>
        <v>3</v>
      </c>
      <c r="UE2">
        <f>Matriz!C20</f>
        <v>1</v>
      </c>
      <c r="UF2">
        <f>Matriz!C21</f>
        <v>5</v>
      </c>
      <c r="UG2">
        <f>Matriz!C22</f>
        <v>18.666666666666668</v>
      </c>
      <c r="UH2">
        <f>Matriz!C23</f>
        <v>0.31111111111111112</v>
      </c>
      <c r="UI2">
        <f>Matriz!T18</f>
        <v>24.669696969696972</v>
      </c>
      <c r="UJ2" s="700">
        <f>Matriz!T19</f>
        <v>0.54821548821548827</v>
      </c>
      <c r="UK2">
        <f>DF!E7</f>
        <v>0.56666666666666665</v>
      </c>
      <c r="UL2">
        <f>DF!F7</f>
        <v>0.4</v>
      </c>
      <c r="UM2">
        <f>DF!G7</f>
        <v>0.6</v>
      </c>
      <c r="UN2">
        <f>DF!H7</f>
        <v>0.4</v>
      </c>
      <c r="UO2">
        <f>DF!I7</f>
        <v>0</v>
      </c>
      <c r="UP2">
        <f>DF!R3</f>
        <v>5</v>
      </c>
      <c r="UQ2" t="str">
        <f>DF!S10</f>
        <v>TVA =
Empresa</v>
      </c>
      <c r="UR2">
        <f>DF!R12</f>
        <v>5</v>
      </c>
      <c r="US2">
        <f>DF!R19</f>
        <v>1</v>
      </c>
      <c r="UT2">
        <f>DF!R26</f>
        <v>3</v>
      </c>
      <c r="UU2" t="str">
        <f>DF!R28</f>
        <v>NA</v>
      </c>
      <c r="UV2" t="str">
        <f>DF!R30</f>
        <v>NA</v>
      </c>
      <c r="UW2" t="str">
        <f>DF!R32</f>
        <v>NA</v>
      </c>
      <c r="UX2">
        <f>DF!J3</f>
        <v>5</v>
      </c>
      <c r="UY2">
        <f>DF!K3</f>
        <v>5</v>
      </c>
      <c r="UZ2">
        <f>DF!L3</f>
        <v>5</v>
      </c>
      <c r="VA2">
        <f>DF!J10</f>
        <v>2</v>
      </c>
      <c r="VB2">
        <f>DF!K10</f>
        <v>3</v>
      </c>
      <c r="VC2">
        <f>DF!L10</f>
        <v>4</v>
      </c>
      <c r="VD2">
        <f>DF!J12</f>
        <v>4</v>
      </c>
      <c r="VE2">
        <f>DF!K12</f>
        <v>5</v>
      </c>
      <c r="VF2">
        <f>DF!L12</f>
        <v>5</v>
      </c>
      <c r="VG2">
        <f>DF!J19</f>
        <v>5</v>
      </c>
      <c r="VH2">
        <f>DF!K19</f>
        <v>5</v>
      </c>
      <c r="VI2">
        <f>DF!L19</f>
        <v>5</v>
      </c>
      <c r="VJ2">
        <f>DF!J26</f>
        <v>4</v>
      </c>
      <c r="VK2">
        <f>DF!K26</f>
        <v>5</v>
      </c>
      <c r="VL2">
        <f>DF!L26</f>
        <v>5</v>
      </c>
      <c r="VM2">
        <f>DF!J28</f>
        <v>5</v>
      </c>
      <c r="VN2">
        <f>DF!K28</f>
        <v>5</v>
      </c>
      <c r="VO2">
        <f>DF!L28</f>
        <v>5</v>
      </c>
      <c r="VP2">
        <f>DF!J30</f>
        <v>4</v>
      </c>
      <c r="VQ2">
        <f>DF!K30</f>
        <v>5</v>
      </c>
      <c r="VR2">
        <f>DF!L30</f>
        <v>5</v>
      </c>
      <c r="VS2">
        <f>DF!J32</f>
        <v>5</v>
      </c>
      <c r="VT2">
        <f>DF!K32</f>
        <v>5</v>
      </c>
      <c r="VU2">
        <f>DF!L32</f>
        <v>5</v>
      </c>
      <c r="VV2">
        <f>DF!E16</f>
        <v>0</v>
      </c>
      <c r="VW2">
        <f>DF!F16</f>
        <v>0</v>
      </c>
      <c r="VX2">
        <f>DF!G16</f>
        <v>0</v>
      </c>
      <c r="VY2">
        <f>DF!H16</f>
        <v>0</v>
      </c>
      <c r="VZ2">
        <f>DF!I16</f>
        <v>0</v>
      </c>
      <c r="WA2">
        <f>DF!E23</f>
        <v>0</v>
      </c>
      <c r="WB2">
        <f>DF!F23</f>
        <v>0</v>
      </c>
      <c r="WC2">
        <f>DF!G23</f>
        <v>0</v>
      </c>
      <c r="WD2">
        <f>DF!H23</f>
        <v>0</v>
      </c>
      <c r="WE2">
        <f>DF!I23</f>
        <v>0</v>
      </c>
      <c r="WF2">
        <f>DF!M3</f>
        <v>0</v>
      </c>
      <c r="WG2">
        <f>DF!M10</f>
        <v>0</v>
      </c>
      <c r="WH2">
        <f>DF!M12</f>
        <v>0</v>
      </c>
      <c r="WI2">
        <f>DF!M19</f>
        <v>0</v>
      </c>
      <c r="WJ2">
        <f>DF!M26</f>
        <v>0</v>
      </c>
      <c r="WK2">
        <f>DF!M28</f>
        <v>0</v>
      </c>
      <c r="WL2">
        <f>DF!M30</f>
        <v>0</v>
      </c>
      <c r="WM2">
        <f>DF!M32</f>
        <v>0</v>
      </c>
    </row>
    <row r="3" spans="1:611" ht="14.5" customHeight="1" x14ac:dyDescent="0.35">
      <c r="FH3" s="700"/>
      <c r="FI3" s="700"/>
      <c r="FJ3" s="701"/>
      <c r="FK3" s="701"/>
      <c r="FL3" s="700"/>
      <c r="FM3" s="700"/>
      <c r="FN3" s="701"/>
      <c r="FO3" s="701"/>
      <c r="FW3" s="701"/>
      <c r="FX3" s="701"/>
      <c r="GM3" s="701"/>
      <c r="GN3" s="701"/>
    </row>
    <row r="4" spans="1:611" ht="14.5" customHeight="1" x14ac:dyDescent="0.35">
      <c r="A4" s="695" t="s">
        <v>2086</v>
      </c>
      <c r="FH4" s="700"/>
      <c r="FI4" s="700"/>
      <c r="FJ4" s="701"/>
      <c r="FK4" s="701"/>
      <c r="FL4" s="700"/>
      <c r="FM4" s="700"/>
      <c r="FN4" s="701"/>
      <c r="FO4" s="701"/>
      <c r="FW4" s="701"/>
      <c r="FX4" s="701"/>
    </row>
    <row r="5" spans="1:611" ht="33.5" x14ac:dyDescent="0.35">
      <c r="A5" s="632"/>
      <c r="B5" s="632"/>
      <c r="C5" s="632"/>
      <c r="D5" s="632"/>
      <c r="E5" s="632"/>
      <c r="F5" s="632"/>
      <c r="G5" s="632"/>
      <c r="FH5" s="700"/>
      <c r="FI5" s="700"/>
      <c r="FJ5" s="701"/>
      <c r="FK5" s="701"/>
      <c r="FL5" s="700"/>
      <c r="FM5" s="700"/>
      <c r="FN5" s="701"/>
      <c r="FO5" s="701"/>
      <c r="FW5" s="701"/>
      <c r="FX5" s="701"/>
    </row>
    <row r="6" spans="1:611" ht="33.5" x14ac:dyDescent="0.35">
      <c r="A6" s="632"/>
      <c r="B6" s="632"/>
      <c r="C6" s="632"/>
      <c r="D6" s="632"/>
      <c r="E6" s="632"/>
      <c r="F6" s="632"/>
      <c r="G6" s="632"/>
      <c r="FH6" s="700"/>
      <c r="FI6" s="700"/>
      <c r="FJ6" s="701"/>
      <c r="FK6" s="701"/>
      <c r="FL6" s="700"/>
      <c r="FM6" s="700"/>
      <c r="FN6" s="701"/>
      <c r="FO6" s="701"/>
      <c r="FW6" s="701"/>
      <c r="FX6" s="701"/>
    </row>
    <row r="7" spans="1:611" ht="33.5" x14ac:dyDescent="0.35">
      <c r="A7" s="632"/>
      <c r="B7" s="632"/>
      <c r="C7" s="632"/>
      <c r="D7" s="632"/>
      <c r="E7" s="632"/>
      <c r="F7" s="632"/>
      <c r="G7" s="632"/>
    </row>
    <row r="8" spans="1:611" ht="33.5" x14ac:dyDescent="0.35">
      <c r="A8" s="632"/>
      <c r="B8" s="632"/>
      <c r="C8" s="632"/>
      <c r="D8" s="632"/>
      <c r="E8" s="632"/>
      <c r="F8" s="632"/>
      <c r="G8" s="632"/>
    </row>
    <row r="9" spans="1:611" ht="33.5" x14ac:dyDescent="0.35">
      <c r="A9" s="632"/>
      <c r="B9" s="632"/>
      <c r="C9" s="632"/>
      <c r="D9" s="632"/>
      <c r="E9" s="632"/>
      <c r="F9" s="632"/>
      <c r="G9" s="632"/>
    </row>
    <row r="10" spans="1:611" ht="33.5" x14ac:dyDescent="0.35">
      <c r="A10" s="632"/>
      <c r="B10" s="632"/>
      <c r="C10" s="632"/>
      <c r="D10" s="632"/>
      <c r="E10" s="632"/>
      <c r="F10" s="632"/>
      <c r="G10" s="632"/>
    </row>
    <row r="11" spans="1:611" ht="33.5" x14ac:dyDescent="0.35">
      <c r="A11" s="632"/>
      <c r="B11" s="632"/>
      <c r="C11" s="632"/>
      <c r="D11" s="632"/>
      <c r="E11" s="632"/>
      <c r="F11" s="632"/>
      <c r="G11" s="632"/>
    </row>
    <row r="12" spans="1:611" ht="33.5" x14ac:dyDescent="0.35">
      <c r="A12" s="632"/>
      <c r="B12" s="632"/>
      <c r="C12" s="632"/>
      <c r="D12" s="632"/>
      <c r="E12" s="632"/>
      <c r="F12" s="632"/>
      <c r="G12" s="632"/>
    </row>
    <row r="13" spans="1:611" ht="33.5" x14ac:dyDescent="0.35">
      <c r="A13" s="632"/>
      <c r="B13" s="632"/>
      <c r="C13" s="632"/>
      <c r="D13" s="632"/>
      <c r="E13" s="632"/>
      <c r="F13" s="632"/>
      <c r="G13" s="632"/>
      <c r="TT13" t="s">
        <v>797</v>
      </c>
    </row>
    <row r="14" spans="1:611" ht="33.5" x14ac:dyDescent="0.35">
      <c r="A14" s="632"/>
      <c r="B14" s="632"/>
      <c r="C14" s="632"/>
      <c r="D14" s="632"/>
      <c r="E14" s="632"/>
      <c r="F14" s="632"/>
      <c r="G14" s="632"/>
    </row>
    <row r="15" spans="1:611" ht="33.5" x14ac:dyDescent="0.35">
      <c r="A15" s="632"/>
      <c r="B15" s="632"/>
      <c r="C15" s="632"/>
      <c r="D15" s="632"/>
      <c r="E15" s="632"/>
      <c r="F15" s="632"/>
      <c r="G15" s="632"/>
    </row>
    <row r="16" spans="1:611" ht="33.5" x14ac:dyDescent="0.35">
      <c r="A16" s="632"/>
      <c r="B16" s="632"/>
      <c r="C16" s="632"/>
      <c r="D16" s="632"/>
      <c r="E16" s="632"/>
      <c r="F16" s="632"/>
      <c r="G16" s="632"/>
    </row>
    <row r="17" spans="1:7" ht="33.5" x14ac:dyDescent="0.35">
      <c r="A17" s="632"/>
      <c r="B17" s="632"/>
      <c r="C17" s="632"/>
      <c r="D17" s="632"/>
      <c r="E17" s="632"/>
      <c r="F17" s="632"/>
      <c r="G17" s="632"/>
    </row>
    <row r="18" spans="1:7" ht="33.5" x14ac:dyDescent="0.35">
      <c r="A18" s="632"/>
      <c r="B18" s="632"/>
      <c r="C18" s="632"/>
      <c r="D18" s="632"/>
      <c r="E18" s="632"/>
      <c r="F18" s="632"/>
      <c r="G18" s="632"/>
    </row>
    <row r="19" spans="1:7" ht="33.5" x14ac:dyDescent="0.35">
      <c r="A19" s="632"/>
      <c r="B19" s="632"/>
      <c r="C19" s="632"/>
      <c r="D19" s="632"/>
      <c r="E19" s="632"/>
      <c r="F19" s="632"/>
      <c r="G19" s="632"/>
    </row>
    <row r="20" spans="1:7" ht="33.5" x14ac:dyDescent="0.35">
      <c r="A20" s="632"/>
      <c r="B20" s="632"/>
      <c r="C20" s="632"/>
      <c r="D20" s="632"/>
      <c r="E20" s="632"/>
      <c r="F20" s="632"/>
      <c r="G20" s="632"/>
    </row>
  </sheetData>
  <phoneticPr fontId="8" type="noConversion"/>
  <hyperlinks>
    <hyperlink ref="A4" location="Indice!A1" display="Indice" xr:uid="{FABAA2CC-AD4D-49DE-936B-36A359474E1A}"/>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7FDD1-6B85-49D3-A7CB-D7731A371990}">
  <dimension ref="A1:A16"/>
  <sheetViews>
    <sheetView workbookViewId="0">
      <selection activeCell="A17" sqref="A17"/>
    </sheetView>
  </sheetViews>
  <sheetFormatPr baseColWidth="10" defaultColWidth="11.453125" defaultRowHeight="14.5" x14ac:dyDescent="0.35"/>
  <sheetData>
    <row r="1" spans="1:1" x14ac:dyDescent="0.35">
      <c r="A1" t="s">
        <v>886</v>
      </c>
    </row>
    <row r="2" spans="1:1" x14ac:dyDescent="0.35">
      <c r="A2" t="s">
        <v>887</v>
      </c>
    </row>
    <row r="7" spans="1:1" x14ac:dyDescent="0.35">
      <c r="A7" t="s">
        <v>905</v>
      </c>
    </row>
    <row r="8" spans="1:1" x14ac:dyDescent="0.35">
      <c r="A8" t="s">
        <v>2087</v>
      </c>
    </row>
    <row r="9" spans="1:1" x14ac:dyDescent="0.35">
      <c r="A9" t="s">
        <v>2088</v>
      </c>
    </row>
    <row r="10" spans="1:1" x14ac:dyDescent="0.35">
      <c r="A10" t="s">
        <v>2089</v>
      </c>
    </row>
    <row r="11" spans="1:1" x14ac:dyDescent="0.35">
      <c r="A11" t="s">
        <v>2090</v>
      </c>
    </row>
    <row r="12" spans="1:1" x14ac:dyDescent="0.35">
      <c r="A12" t="s">
        <v>2091</v>
      </c>
    </row>
    <row r="15" spans="1:1" x14ac:dyDescent="0.35">
      <c r="A15" t="s">
        <v>2092</v>
      </c>
    </row>
    <row r="16" spans="1:1" x14ac:dyDescent="0.35">
      <c r="A16" t="s">
        <v>2093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4CB7-11A6-45AC-8B3E-BC1BF127E805}">
  <dimension ref="A1:Q1700"/>
  <sheetViews>
    <sheetView showGridLines="0" tabSelected="1" zoomScale="160" zoomScaleNormal="160" workbookViewId="0">
      <selection activeCell="O1" sqref="O1"/>
    </sheetView>
  </sheetViews>
  <sheetFormatPr baseColWidth="10" defaultColWidth="5.54296875" defaultRowHeight="14.5" x14ac:dyDescent="0.35"/>
  <cols>
    <col min="1" max="4" width="5.54296875" style="13"/>
    <col min="5" max="5" width="5.54296875" style="14"/>
    <col min="6" max="6" width="10.453125" style="859" customWidth="1"/>
    <col min="7" max="7" width="14.81640625" style="857" customWidth="1"/>
    <col min="8" max="8" width="5.54296875" style="14"/>
    <col min="9" max="9" width="5.54296875" style="13"/>
    <col min="10" max="13" width="14" style="13" customWidth="1"/>
    <col min="14" max="17" width="14" style="837" customWidth="1"/>
    <col min="18" max="16384" width="5.54296875" style="13"/>
  </cols>
  <sheetData>
    <row r="1" spans="1:17" s="32" customFormat="1" ht="72.5" x14ac:dyDescent="0.35">
      <c r="A1" s="853" t="s">
        <v>2094</v>
      </c>
      <c r="B1" s="853" t="s">
        <v>2095</v>
      </c>
      <c r="C1" s="852" t="s">
        <v>2096</v>
      </c>
      <c r="D1" s="852" t="s">
        <v>2097</v>
      </c>
      <c r="E1" s="852" t="s">
        <v>41</v>
      </c>
      <c r="F1" s="854" t="s">
        <v>2094</v>
      </c>
      <c r="G1" s="855" t="s">
        <v>2098</v>
      </c>
      <c r="H1" s="852" t="s">
        <v>2099</v>
      </c>
      <c r="I1" s="852" t="s">
        <v>2100</v>
      </c>
      <c r="J1" s="851" t="s">
        <v>2101</v>
      </c>
      <c r="K1" s="851" t="s">
        <v>797</v>
      </c>
      <c r="L1" s="851" t="s">
        <v>2102</v>
      </c>
      <c r="M1" s="851" t="s">
        <v>2103</v>
      </c>
      <c r="N1" s="850" t="s">
        <v>2104</v>
      </c>
      <c r="O1" s="850" t="s">
        <v>2105</v>
      </c>
      <c r="P1" s="850" t="s">
        <v>2106</v>
      </c>
      <c r="Q1" s="851" t="s">
        <v>2107</v>
      </c>
    </row>
    <row r="2" spans="1:17" hidden="1" x14ac:dyDescent="0.35">
      <c r="A2" s="13" t="str">
        <f>MID(Indicadores[[#This Row],[CIIU]],2,4)</f>
        <v>0111</v>
      </c>
      <c r="B2" s="13" t="str">
        <f>Indicadores[[#This Row],[CIIU]]&amp;Indicadores[[#This Row],[Año]]</f>
        <v>A01112016</v>
      </c>
      <c r="C2" s="14" t="s">
        <v>2108</v>
      </c>
      <c r="D2" s="14" t="s">
        <v>2109</v>
      </c>
      <c r="E2" s="848">
        <v>2016</v>
      </c>
      <c r="F2" s="856" t="s">
        <v>2110</v>
      </c>
      <c r="G2" s="858" t="s">
        <v>2111</v>
      </c>
      <c r="H2" s="848" t="s">
        <v>2112</v>
      </c>
      <c r="I2" s="693" t="s">
        <v>2113</v>
      </c>
      <c r="J2" s="847">
        <v>-2960332</v>
      </c>
      <c r="K2" s="847">
        <v>10251040</v>
      </c>
      <c r="L2" s="841">
        <v>431078697</v>
      </c>
      <c r="M2" s="847">
        <v>152916840</v>
      </c>
      <c r="N2" s="839">
        <f>Indicadores[[#This Row],[Ventas]]/Indicadores[[#This Row],[Activos totales]]</f>
        <v>0.35473068157668669</v>
      </c>
      <c r="O2" s="837">
        <f>IF(Indicadores[[#This Row],[Ventas]]=0,0,Indicadores[[#This Row],[EBITDA]]/Indicadores[[#This Row],[Ventas]])</f>
        <v>6.7036697854860203E-2</v>
      </c>
      <c r="P2" s="837">
        <f>IF(Indicadores[[#This Row],[Ventas]]=0,0,Indicadores[[#This Row],[UAI]]/Indicadores[[#This Row],[Ventas]])</f>
        <v>-1.9359097402222018E-2</v>
      </c>
      <c r="Q2" s="837">
        <f>IFERROR(Indicadores[[#This Row],[Ventas]]/Indicadores[[#This Row],[Activos totales]],0)</f>
        <v>0.35473068157668669</v>
      </c>
    </row>
    <row r="3" spans="1:17" hidden="1" x14ac:dyDescent="0.35">
      <c r="A3" s="13" t="str">
        <f>MID(Indicadores[[#This Row],[CIIU]],2,4)</f>
        <v>0112</v>
      </c>
      <c r="B3" s="13" t="str">
        <f>Indicadores[[#This Row],[CIIU]]&amp;Indicadores[[#This Row],[Año]]</f>
        <v>A01122016</v>
      </c>
      <c r="C3" s="14" t="s">
        <v>2108</v>
      </c>
      <c r="D3" s="14" t="s">
        <v>2109</v>
      </c>
      <c r="E3" s="848">
        <v>2016</v>
      </c>
      <c r="F3" s="856" t="s">
        <v>2114</v>
      </c>
      <c r="G3" s="858" t="s">
        <v>2115</v>
      </c>
      <c r="H3" s="848" t="s">
        <v>2116</v>
      </c>
      <c r="I3" s="693" t="s">
        <v>2117</v>
      </c>
      <c r="J3" s="847">
        <v>46239142</v>
      </c>
      <c r="K3" s="847">
        <v>52103834</v>
      </c>
      <c r="L3" s="841">
        <v>756541008</v>
      </c>
      <c r="M3" s="847">
        <v>303473839</v>
      </c>
      <c r="N3" s="839">
        <f>Indicadores[[#This Row],[Ventas]]/Indicadores[[#This Row],[Activos totales]]</f>
        <v>0.40113336328227167</v>
      </c>
      <c r="O3" s="837">
        <f>IF(Indicadores[[#This Row],[Ventas]]=0,0,Indicadores[[#This Row],[EBITDA]]/Indicadores[[#This Row],[Ventas]])</f>
        <v>0.17169135294064014</v>
      </c>
      <c r="P3" s="837">
        <f>IF(Indicadores[[#This Row],[Ventas]]=0,0,Indicadores[[#This Row],[UAI]]/Indicadores[[#This Row],[Ventas]])</f>
        <v>0.15236615502794626</v>
      </c>
      <c r="Q3" s="837">
        <f>IFERROR(Indicadores[[#This Row],[Ventas]]/Indicadores[[#This Row],[Activos totales]],0)</f>
        <v>0.40113336328227167</v>
      </c>
    </row>
    <row r="4" spans="1:17" hidden="1" x14ac:dyDescent="0.35">
      <c r="A4" s="13" t="str">
        <f>MID(Indicadores[[#This Row],[CIIU]],2,4)</f>
        <v>0113</v>
      </c>
      <c r="B4" s="13" t="str">
        <f>Indicadores[[#This Row],[CIIU]]&amp;Indicadores[[#This Row],[Año]]</f>
        <v>A01132016</v>
      </c>
      <c r="C4" s="14" t="s">
        <v>2108</v>
      </c>
      <c r="D4" s="14" t="s">
        <v>2109</v>
      </c>
      <c r="E4" s="848">
        <v>2016</v>
      </c>
      <c r="F4" s="856" t="s">
        <v>2118</v>
      </c>
      <c r="G4" s="858" t="s">
        <v>2119</v>
      </c>
      <c r="H4" s="848" t="s">
        <v>2120</v>
      </c>
      <c r="I4" s="693" t="s">
        <v>2121</v>
      </c>
      <c r="J4" s="847">
        <v>-7035520</v>
      </c>
      <c r="K4" s="847">
        <v>8075043</v>
      </c>
      <c r="L4" s="841">
        <v>266169879</v>
      </c>
      <c r="M4" s="847">
        <v>260977891</v>
      </c>
      <c r="N4" s="839">
        <f>Indicadores[[#This Row],[Ventas]]/Indicadores[[#This Row],[Activos totales]]</f>
        <v>0.98049370567584015</v>
      </c>
      <c r="O4" s="837">
        <f>IF(Indicadores[[#This Row],[Ventas]]=0,0,Indicadores[[#This Row],[EBITDA]]/Indicadores[[#This Row],[Ventas]])</f>
        <v>3.0941483085247249E-2</v>
      </c>
      <c r="P4" s="837">
        <f>IF(Indicadores[[#This Row],[Ventas]]=0,0,Indicadores[[#This Row],[UAI]]/Indicadores[[#This Row],[Ventas]])</f>
        <v>-2.6958298931153521E-2</v>
      </c>
      <c r="Q4" s="837">
        <f>IFERROR(Indicadores[[#This Row],[Ventas]]/Indicadores[[#This Row],[Activos totales]],0)</f>
        <v>0.98049370567584015</v>
      </c>
    </row>
    <row r="5" spans="1:17" hidden="1" x14ac:dyDescent="0.35">
      <c r="A5" s="13" t="str">
        <f>MID(Indicadores[[#This Row],[CIIU]],2,4)</f>
        <v>0114</v>
      </c>
      <c r="B5" s="13" t="str">
        <f>Indicadores[[#This Row],[CIIU]]&amp;Indicadores[[#This Row],[Año]]</f>
        <v>A01142016</v>
      </c>
      <c r="C5" s="14" t="s">
        <v>2108</v>
      </c>
      <c r="D5" s="14" t="s">
        <v>2109</v>
      </c>
      <c r="E5" s="848">
        <v>2016</v>
      </c>
      <c r="F5" s="856" t="s">
        <v>2122</v>
      </c>
      <c r="G5" s="857" t="s">
        <v>2123</v>
      </c>
      <c r="H5" s="848" t="s">
        <v>2124</v>
      </c>
      <c r="I5" s="693" t="s">
        <v>2125</v>
      </c>
      <c r="J5" s="847">
        <v>2020661</v>
      </c>
      <c r="K5" s="847">
        <v>9648173</v>
      </c>
      <c r="L5" s="841">
        <v>380029573</v>
      </c>
      <c r="M5" s="847">
        <v>106233286</v>
      </c>
      <c r="N5" s="839">
        <f>Indicadores[[#This Row],[Ventas]]/Indicadores[[#This Row],[Activos totales]]</f>
        <v>0.27953952415171646</v>
      </c>
      <c r="O5" s="837">
        <f>IF(Indicadores[[#This Row],[Ventas]]=0,0,Indicadores[[#This Row],[EBITDA]]/Indicadores[[#This Row],[Ventas]])</f>
        <v>9.08206209492569E-2</v>
      </c>
      <c r="P5" s="837">
        <f>IF(Indicadores[[#This Row],[Ventas]]=0,0,Indicadores[[#This Row],[UAI]]/Indicadores[[#This Row],[Ventas]])</f>
        <v>1.9020978038841799E-2</v>
      </c>
      <c r="Q5" s="837">
        <f>IFERROR(Indicadores[[#This Row],[Ventas]]/Indicadores[[#This Row],[Activos totales]],0)</f>
        <v>0.27953952415171646</v>
      </c>
    </row>
    <row r="6" spans="1:17" hidden="1" x14ac:dyDescent="0.35">
      <c r="A6" s="13" t="str">
        <f>MID(Indicadores[[#This Row],[CIIU]],2,4)</f>
        <v>0115</v>
      </c>
      <c r="B6" s="13" t="str">
        <f>Indicadores[[#This Row],[CIIU]]&amp;Indicadores[[#This Row],[Año]]</f>
        <v>A01152016</v>
      </c>
      <c r="C6" s="14" t="s">
        <v>2108</v>
      </c>
      <c r="D6" s="14" t="s">
        <v>2109</v>
      </c>
      <c r="E6" s="848">
        <v>2016</v>
      </c>
      <c r="F6" s="856" t="s">
        <v>2126</v>
      </c>
      <c r="G6" s="858" t="s">
        <v>2127</v>
      </c>
      <c r="H6" s="848" t="s">
        <v>2128</v>
      </c>
      <c r="I6" s="693" t="s">
        <v>2129</v>
      </c>
      <c r="J6" s="847">
        <v>4158943</v>
      </c>
      <c r="K6" s="847">
        <v>3418535</v>
      </c>
      <c r="L6" s="841">
        <v>82797870</v>
      </c>
      <c r="M6" s="847">
        <v>19964270</v>
      </c>
      <c r="N6" s="839">
        <f>Indicadores[[#This Row],[Ventas]]/Indicadores[[#This Row],[Activos totales]]</f>
        <v>0.24112057472009849</v>
      </c>
      <c r="O6" s="837">
        <f>IF(Indicadores[[#This Row],[Ventas]]=0,0,Indicadores[[#This Row],[EBITDA]]/Indicadores[[#This Row],[Ventas]])</f>
        <v>0.17123265714198416</v>
      </c>
      <c r="P6" s="837">
        <f>IF(Indicadores[[#This Row],[Ventas]]=0,0,Indicadores[[#This Row],[UAI]]/Indicadores[[#This Row],[Ventas]])</f>
        <v>0.20831931245169497</v>
      </c>
      <c r="Q6" s="837">
        <f>IFERROR(Indicadores[[#This Row],[Ventas]]/Indicadores[[#This Row],[Activos totales]],0)</f>
        <v>0.24112057472009849</v>
      </c>
    </row>
    <row r="7" spans="1:17" hidden="1" x14ac:dyDescent="0.35">
      <c r="A7" s="13" t="str">
        <f>MID(Indicadores[[#This Row],[CIIU]],2,4)</f>
        <v>0119</v>
      </c>
      <c r="B7" s="13" t="str">
        <f>Indicadores[[#This Row],[CIIU]]&amp;Indicadores[[#This Row],[Año]]</f>
        <v>A01192016</v>
      </c>
      <c r="C7" s="14" t="s">
        <v>2108</v>
      </c>
      <c r="D7" s="14" t="s">
        <v>2109</v>
      </c>
      <c r="E7" s="848">
        <v>2016</v>
      </c>
      <c r="F7" s="856" t="s">
        <v>2130</v>
      </c>
      <c r="G7" s="858" t="s">
        <v>2131</v>
      </c>
      <c r="H7" s="848" t="s">
        <v>2132</v>
      </c>
      <c r="I7" s="693" t="s">
        <v>2131</v>
      </c>
      <c r="J7" s="847">
        <v>15806794</v>
      </c>
      <c r="K7" s="847">
        <v>18803903</v>
      </c>
      <c r="L7" s="841">
        <v>335481815</v>
      </c>
      <c r="M7" s="847">
        <v>61149141</v>
      </c>
      <c r="N7" s="839">
        <f>Indicadores[[#This Row],[Ventas]]/Indicadores[[#This Row],[Activos totales]]</f>
        <v>0.18227259501383108</v>
      </c>
      <c r="O7" s="837">
        <f>IF(Indicadores[[#This Row],[Ventas]]=0,0,Indicadores[[#This Row],[EBITDA]]/Indicadores[[#This Row],[Ventas]])</f>
        <v>0.30750886590540988</v>
      </c>
      <c r="P7" s="837">
        <f>IF(Indicadores[[#This Row],[Ventas]]=0,0,Indicadores[[#This Row],[UAI]]/Indicadores[[#This Row],[Ventas]])</f>
        <v>0.25849576529619606</v>
      </c>
      <c r="Q7" s="837">
        <f>IFERROR(Indicadores[[#This Row],[Ventas]]/Indicadores[[#This Row],[Activos totales]],0)</f>
        <v>0.18227259501383108</v>
      </c>
    </row>
    <row r="8" spans="1:17" hidden="1" x14ac:dyDescent="0.35">
      <c r="A8" s="13" t="str">
        <f>MID(Indicadores[[#This Row],[CIIU]],2,4)</f>
        <v>0121</v>
      </c>
      <c r="B8" s="13" t="str">
        <f>Indicadores[[#This Row],[CIIU]]&amp;Indicadores[[#This Row],[Año]]</f>
        <v>A01212016</v>
      </c>
      <c r="C8" s="14" t="s">
        <v>2108</v>
      </c>
      <c r="D8" s="14" t="s">
        <v>2109</v>
      </c>
      <c r="E8" s="848">
        <v>2016</v>
      </c>
      <c r="F8" s="856" t="s">
        <v>2133</v>
      </c>
      <c r="G8" s="858" t="s">
        <v>2134</v>
      </c>
      <c r="H8" s="848" t="s">
        <v>2135</v>
      </c>
      <c r="I8" s="693" t="s">
        <v>2134</v>
      </c>
      <c r="J8" s="847">
        <v>1513545</v>
      </c>
      <c r="K8" s="847">
        <v>32000790</v>
      </c>
      <c r="L8" s="841">
        <v>797618378</v>
      </c>
      <c r="M8" s="847">
        <v>153408239</v>
      </c>
      <c r="N8" s="839">
        <f>Indicadores[[#This Row],[Ventas]]/Indicadores[[#This Row],[Activos totales]]</f>
        <v>0.19233287901999671</v>
      </c>
      <c r="O8" s="837">
        <f>IF(Indicadores[[#This Row],[Ventas]]=0,0,Indicadores[[#This Row],[EBITDA]]/Indicadores[[#This Row],[Ventas]])</f>
        <v>0.20859890061054673</v>
      </c>
      <c r="P8" s="837">
        <f>IF(Indicadores[[#This Row],[Ventas]]=0,0,Indicadores[[#This Row],[UAI]]/Indicadores[[#This Row],[Ventas]])</f>
        <v>9.8661258995352916E-3</v>
      </c>
      <c r="Q8" s="837">
        <f>IFERROR(Indicadores[[#This Row],[Ventas]]/Indicadores[[#This Row],[Activos totales]],0)</f>
        <v>0.19233287901999671</v>
      </c>
    </row>
    <row r="9" spans="1:17" hidden="1" x14ac:dyDescent="0.35">
      <c r="A9" s="13" t="str">
        <f>MID(Indicadores[[#This Row],[CIIU]],2,4)</f>
        <v>0122</v>
      </c>
      <c r="B9" s="13" t="str">
        <f>Indicadores[[#This Row],[CIIU]]&amp;Indicadores[[#This Row],[Año]]</f>
        <v>A01222016</v>
      </c>
      <c r="C9" s="14" t="s">
        <v>2108</v>
      </c>
      <c r="D9" s="14" t="s">
        <v>2109</v>
      </c>
      <c r="E9" s="848">
        <v>2016</v>
      </c>
      <c r="F9" s="856" t="s">
        <v>2136</v>
      </c>
      <c r="G9" s="858" t="s">
        <v>2137</v>
      </c>
      <c r="H9" s="848" t="s">
        <v>2138</v>
      </c>
      <c r="I9" s="693" t="s">
        <v>2137</v>
      </c>
      <c r="J9" s="847">
        <v>169904026</v>
      </c>
      <c r="K9" s="847">
        <v>213248040</v>
      </c>
      <c r="L9" s="841">
        <v>3070837987</v>
      </c>
      <c r="M9" s="847">
        <v>1443863668</v>
      </c>
      <c r="N9" s="839">
        <f>Indicadores[[#This Row],[Ventas]]/Indicadores[[#This Row],[Activos totales]]</f>
        <v>0.47018555655244992</v>
      </c>
      <c r="O9" s="837">
        <f>IF(Indicadores[[#This Row],[Ventas]]=0,0,Indicadores[[#This Row],[EBITDA]]/Indicadores[[#This Row],[Ventas]])</f>
        <v>0.14769264212831484</v>
      </c>
      <c r="P9" s="837">
        <f>IF(Indicadores[[#This Row],[Ventas]]=0,0,Indicadores[[#This Row],[UAI]]/Indicadores[[#This Row],[Ventas]])</f>
        <v>0.11767317771444886</v>
      </c>
      <c r="Q9" s="837">
        <f>IFERROR(Indicadores[[#This Row],[Ventas]]/Indicadores[[#This Row],[Activos totales]],0)</f>
        <v>0.47018555655244992</v>
      </c>
    </row>
    <row r="10" spans="1:17" hidden="1" x14ac:dyDescent="0.35">
      <c r="A10" s="13" t="str">
        <f>MID(Indicadores[[#This Row],[CIIU]],2,4)</f>
        <v>0123</v>
      </c>
      <c r="B10" s="13" t="str">
        <f>Indicadores[[#This Row],[CIIU]]&amp;Indicadores[[#This Row],[Año]]</f>
        <v>A01232016</v>
      </c>
      <c r="C10" s="14" t="s">
        <v>2108</v>
      </c>
      <c r="D10" s="14" t="s">
        <v>2109</v>
      </c>
      <c r="E10" s="848">
        <v>2016</v>
      </c>
      <c r="F10" s="856" t="s">
        <v>2139</v>
      </c>
      <c r="G10" s="858" t="s">
        <v>2140</v>
      </c>
      <c r="H10" s="848" t="s">
        <v>2141</v>
      </c>
      <c r="I10" s="693" t="s">
        <v>2140</v>
      </c>
      <c r="J10" s="847">
        <v>2587857</v>
      </c>
      <c r="K10" s="847">
        <v>8148435</v>
      </c>
      <c r="L10" s="841">
        <v>227627868</v>
      </c>
      <c r="M10" s="847">
        <v>74179446</v>
      </c>
      <c r="N10" s="839">
        <f>Indicadores[[#This Row],[Ventas]]/Indicadores[[#This Row],[Activos totales]]</f>
        <v>0.32588033553079715</v>
      </c>
      <c r="O10" s="837">
        <f>IF(Indicadores[[#This Row],[Ventas]]=0,0,Indicadores[[#This Row],[EBITDA]]/Indicadores[[#This Row],[Ventas]])</f>
        <v>0.10984761196517968</v>
      </c>
      <c r="P10" s="837">
        <f>IF(Indicadores[[#This Row],[Ventas]]=0,0,Indicadores[[#This Row],[UAI]]/Indicadores[[#This Row],[Ventas]])</f>
        <v>3.4886442802498148E-2</v>
      </c>
      <c r="Q10" s="837">
        <f>IFERROR(Indicadores[[#This Row],[Ventas]]/Indicadores[[#This Row],[Activos totales]],0)</f>
        <v>0.32588033553079715</v>
      </c>
    </row>
    <row r="11" spans="1:17" hidden="1" x14ac:dyDescent="0.35">
      <c r="A11" s="13" t="str">
        <f>MID(Indicadores[[#This Row],[CIIU]],2,4)</f>
        <v>0124</v>
      </c>
      <c r="B11" s="13" t="str">
        <f>Indicadores[[#This Row],[CIIU]]&amp;Indicadores[[#This Row],[Año]]</f>
        <v>A01242016</v>
      </c>
      <c r="C11" s="14" t="s">
        <v>2108</v>
      </c>
      <c r="D11" s="14" t="s">
        <v>2109</v>
      </c>
      <c r="E11" s="848">
        <v>2016</v>
      </c>
      <c r="F11" s="856" t="s">
        <v>2142</v>
      </c>
      <c r="G11" s="858" t="s">
        <v>2143</v>
      </c>
      <c r="H11" s="848" t="s">
        <v>2144</v>
      </c>
      <c r="I11" s="693" t="s">
        <v>2143</v>
      </c>
      <c r="J11" s="847">
        <v>-130931642</v>
      </c>
      <c r="K11" s="847">
        <v>-117248141</v>
      </c>
      <c r="L11" s="841">
        <v>4044133748</v>
      </c>
      <c r="M11" s="847">
        <v>667802877</v>
      </c>
      <c r="N11" s="839">
        <f>Indicadores[[#This Row],[Ventas]]/Indicadores[[#This Row],[Activos totales]]</f>
        <v>0.16512878124524383</v>
      </c>
      <c r="O11" s="837">
        <f>IF(Indicadores[[#This Row],[Ventas]]=0,0,Indicadores[[#This Row],[EBITDA]]/Indicadores[[#This Row],[Ventas]])</f>
        <v>-0.17557297974923219</v>
      </c>
      <c r="P11" s="837">
        <f>IF(Indicadores[[#This Row],[Ventas]]=0,0,Indicadores[[#This Row],[UAI]]/Indicadores[[#This Row],[Ventas]])</f>
        <v>-0.19606330926304169</v>
      </c>
      <c r="Q11" s="837">
        <f>IFERROR(Indicadores[[#This Row],[Ventas]]/Indicadores[[#This Row],[Activos totales]],0)</f>
        <v>0.16512878124524383</v>
      </c>
    </row>
    <row r="12" spans="1:17" hidden="1" x14ac:dyDescent="0.35">
      <c r="A12" s="13" t="str">
        <f>MID(Indicadores[[#This Row],[CIIU]],2,4)</f>
        <v>0125</v>
      </c>
      <c r="B12" s="13" t="str">
        <f>Indicadores[[#This Row],[CIIU]]&amp;Indicadores[[#This Row],[Año]]</f>
        <v>A01252016</v>
      </c>
      <c r="C12" s="14" t="s">
        <v>2108</v>
      </c>
      <c r="D12" s="14" t="s">
        <v>2109</v>
      </c>
      <c r="E12" s="848">
        <v>2016</v>
      </c>
      <c r="F12" s="856" t="s">
        <v>2145</v>
      </c>
      <c r="G12" s="858" t="s">
        <v>2146</v>
      </c>
      <c r="H12" s="848" t="s">
        <v>2147</v>
      </c>
      <c r="I12" s="693" t="s">
        <v>2146</v>
      </c>
      <c r="J12" s="847">
        <v>180793715</v>
      </c>
      <c r="K12" s="847">
        <v>467392062</v>
      </c>
      <c r="L12" s="841">
        <v>3116890976</v>
      </c>
      <c r="M12" s="847">
        <v>3238120171</v>
      </c>
      <c r="N12" s="839">
        <f>Indicadores[[#This Row],[Ventas]]/Indicadores[[#This Row],[Activos totales]]</f>
        <v>1.0388942686585647</v>
      </c>
      <c r="O12" s="837">
        <f>IF(Indicadores[[#This Row],[Ventas]]=0,0,Indicadores[[#This Row],[EBITDA]]/Indicadores[[#This Row],[Ventas]])</f>
        <v>0.14434055480271427</v>
      </c>
      <c r="P12" s="837">
        <f>IF(Indicadores[[#This Row],[Ventas]]=0,0,Indicadores[[#This Row],[UAI]]/Indicadores[[#This Row],[Ventas]])</f>
        <v>5.5832923255645289E-2</v>
      </c>
      <c r="Q12" s="837">
        <f>IFERROR(Indicadores[[#This Row],[Ventas]]/Indicadores[[#This Row],[Activos totales]],0)</f>
        <v>1.0388942686585647</v>
      </c>
    </row>
    <row r="13" spans="1:17" hidden="1" x14ac:dyDescent="0.35">
      <c r="A13" s="13" t="str">
        <f>MID(Indicadores[[#This Row],[CIIU]],2,4)</f>
        <v>0126</v>
      </c>
      <c r="B13" s="13" t="str">
        <f>Indicadores[[#This Row],[CIIU]]&amp;Indicadores[[#This Row],[Año]]</f>
        <v>A01262016</v>
      </c>
      <c r="C13" s="14" t="s">
        <v>2108</v>
      </c>
      <c r="D13" s="14" t="s">
        <v>2109</v>
      </c>
      <c r="E13" s="848">
        <v>2016</v>
      </c>
      <c r="F13" s="856" t="s">
        <v>2148</v>
      </c>
      <c r="G13" s="858" t="s">
        <v>2149</v>
      </c>
      <c r="H13" s="848" t="s">
        <v>2150</v>
      </c>
      <c r="I13" s="693" t="s">
        <v>2149</v>
      </c>
      <c r="J13" s="847">
        <v>107184504</v>
      </c>
      <c r="K13" s="847">
        <v>229135948</v>
      </c>
      <c r="L13" s="841">
        <v>5256548332</v>
      </c>
      <c r="M13" s="847">
        <v>1173327450</v>
      </c>
      <c r="N13" s="839">
        <f>Indicadores[[#This Row],[Ventas]]/Indicadores[[#This Row],[Activos totales]]</f>
        <v>0.22321252957139176</v>
      </c>
      <c r="O13" s="837">
        <f>IF(Indicadores[[#This Row],[Ventas]]=0,0,Indicadores[[#This Row],[EBITDA]]/Indicadores[[#This Row],[Ventas]])</f>
        <v>0.19528729852864177</v>
      </c>
      <c r="P13" s="837">
        <f>IF(Indicadores[[#This Row],[Ventas]]=0,0,Indicadores[[#This Row],[UAI]]/Indicadores[[#This Row],[Ventas]])</f>
        <v>9.1350887597490368E-2</v>
      </c>
      <c r="Q13" s="837">
        <f>IFERROR(Indicadores[[#This Row],[Ventas]]/Indicadores[[#This Row],[Activos totales]],0)</f>
        <v>0.22321252957139176</v>
      </c>
    </row>
    <row r="14" spans="1:17" hidden="1" x14ac:dyDescent="0.35">
      <c r="A14" s="13" t="str">
        <f>MID(Indicadores[[#This Row],[CIIU]],2,4)</f>
        <v>0127</v>
      </c>
      <c r="B14" s="13" t="str">
        <f>Indicadores[[#This Row],[CIIU]]&amp;Indicadores[[#This Row],[Año]]</f>
        <v>A01272016</v>
      </c>
      <c r="C14" s="14" t="s">
        <v>2108</v>
      </c>
      <c r="D14" s="14" t="s">
        <v>2109</v>
      </c>
      <c r="E14" s="848">
        <v>2016</v>
      </c>
      <c r="F14" s="856" t="s">
        <v>2151</v>
      </c>
      <c r="G14" s="858" t="s">
        <v>2152</v>
      </c>
      <c r="H14" s="848" t="s">
        <v>2153</v>
      </c>
      <c r="I14" s="693" t="s">
        <v>2152</v>
      </c>
      <c r="J14" s="847">
        <v>5156133</v>
      </c>
      <c r="K14" s="847">
        <v>6599678</v>
      </c>
      <c r="L14" s="841">
        <v>46792622</v>
      </c>
      <c r="M14" s="847">
        <v>37137674</v>
      </c>
      <c r="N14" s="839">
        <f>Indicadores[[#This Row],[Ventas]]/Indicadores[[#This Row],[Activos totales]]</f>
        <v>0.79366516370892826</v>
      </c>
      <c r="O14" s="837">
        <f>IF(Indicadores[[#This Row],[Ventas]]=0,0,Indicadores[[#This Row],[EBITDA]]/Indicadores[[#This Row],[Ventas]])</f>
        <v>0.17770843699042649</v>
      </c>
      <c r="P14" s="837">
        <f>IF(Indicadores[[#This Row],[Ventas]]=0,0,Indicadores[[#This Row],[UAI]]/Indicadores[[#This Row],[Ventas]])</f>
        <v>0.13883833974093263</v>
      </c>
      <c r="Q14" s="837">
        <f>IFERROR(Indicadores[[#This Row],[Ventas]]/Indicadores[[#This Row],[Activos totales]],0)</f>
        <v>0.79366516370892826</v>
      </c>
    </row>
    <row r="15" spans="1:17" hidden="1" x14ac:dyDescent="0.35">
      <c r="A15" s="13" t="str">
        <f>MID(Indicadores[[#This Row],[CIIU]],2,4)</f>
        <v>0128</v>
      </c>
      <c r="B15" s="13" t="str">
        <f>Indicadores[[#This Row],[CIIU]]&amp;Indicadores[[#This Row],[Año]]</f>
        <v>A01282016</v>
      </c>
      <c r="C15" s="14" t="s">
        <v>2108</v>
      </c>
      <c r="D15" s="14" t="s">
        <v>2109</v>
      </c>
      <c r="E15" s="848">
        <v>2016</v>
      </c>
      <c r="F15" s="856" t="s">
        <v>2154</v>
      </c>
      <c r="G15" s="858" t="s">
        <v>2155</v>
      </c>
      <c r="H15" s="848" t="s">
        <v>2156</v>
      </c>
      <c r="I15" s="693" t="s">
        <v>2157</v>
      </c>
      <c r="J15" s="847">
        <v>6702410</v>
      </c>
      <c r="K15" s="847">
        <v>8324535</v>
      </c>
      <c r="L15" s="841">
        <v>47842936</v>
      </c>
      <c r="M15" s="847">
        <v>32126768</v>
      </c>
      <c r="N15" s="839">
        <f>Indicadores[[#This Row],[Ventas]]/Indicadores[[#This Row],[Activos totales]]</f>
        <v>0.67150494275685757</v>
      </c>
      <c r="O15" s="837">
        <f>IF(Indicadores[[#This Row],[Ventas]]=0,0,Indicadores[[#This Row],[EBITDA]]/Indicadores[[#This Row],[Ventas]])</f>
        <v>0.25911523375149348</v>
      </c>
      <c r="P15" s="837">
        <f>IF(Indicadores[[#This Row],[Ventas]]=0,0,Indicadores[[#This Row],[UAI]]/Indicadores[[#This Row],[Ventas]])</f>
        <v>0.20862384912170437</v>
      </c>
      <c r="Q15" s="837">
        <f>IFERROR(Indicadores[[#This Row],[Ventas]]/Indicadores[[#This Row],[Activos totales]],0)</f>
        <v>0.67150494275685757</v>
      </c>
    </row>
    <row r="16" spans="1:17" hidden="1" x14ac:dyDescent="0.35">
      <c r="A16" s="13" t="str">
        <f>MID(Indicadores[[#This Row],[CIIU]],2,4)</f>
        <v>0129</v>
      </c>
      <c r="B16" s="13" t="str">
        <f>Indicadores[[#This Row],[CIIU]]&amp;Indicadores[[#This Row],[Año]]</f>
        <v>A01292016</v>
      </c>
      <c r="C16" s="14" t="s">
        <v>2108</v>
      </c>
      <c r="D16" s="14" t="s">
        <v>2109</v>
      </c>
      <c r="E16" s="848">
        <v>2016</v>
      </c>
      <c r="F16" s="856" t="s">
        <v>2158</v>
      </c>
      <c r="G16" s="858" t="s">
        <v>2159</v>
      </c>
      <c r="H16" s="848" t="s">
        <v>2160</v>
      </c>
      <c r="I16" s="693" t="s">
        <v>2159</v>
      </c>
      <c r="J16" s="847">
        <v>-13391491</v>
      </c>
      <c r="K16" s="847">
        <v>-7647064</v>
      </c>
      <c r="L16" s="841">
        <v>514500476</v>
      </c>
      <c r="M16" s="847">
        <v>90688374</v>
      </c>
      <c r="N16" s="839">
        <f>Indicadores[[#This Row],[Ventas]]/Indicadores[[#This Row],[Activos totales]]</f>
        <v>0.17626489814948199</v>
      </c>
      <c r="O16" s="837">
        <f>IF(Indicadores[[#This Row],[Ventas]]=0,0,Indicadores[[#This Row],[EBITDA]]/Indicadores[[#This Row],[Ventas]])</f>
        <v>-8.4322429245451025E-2</v>
      </c>
      <c r="P16" s="837">
        <f>IF(Indicadores[[#This Row],[Ventas]]=0,0,Indicadores[[#This Row],[UAI]]/Indicadores[[#This Row],[Ventas]])</f>
        <v>-0.14766491457879705</v>
      </c>
      <c r="Q16" s="837">
        <f>IFERROR(Indicadores[[#This Row],[Ventas]]/Indicadores[[#This Row],[Activos totales]],0)</f>
        <v>0.17626489814948199</v>
      </c>
    </row>
    <row r="17" spans="1:17" hidden="1" x14ac:dyDescent="0.35">
      <c r="A17" s="13" t="str">
        <f>MID(Indicadores[[#This Row],[CIIU]],2,4)</f>
        <v>0130</v>
      </c>
      <c r="B17" s="13" t="str">
        <f>Indicadores[[#This Row],[CIIU]]&amp;Indicadores[[#This Row],[Año]]</f>
        <v>A01302016</v>
      </c>
      <c r="C17" s="14" t="s">
        <v>2108</v>
      </c>
      <c r="D17" s="14" t="s">
        <v>2109</v>
      </c>
      <c r="E17" s="848">
        <v>2016</v>
      </c>
      <c r="F17" s="856" t="s">
        <v>2161</v>
      </c>
      <c r="G17" s="858" t="s">
        <v>2162</v>
      </c>
      <c r="H17" s="848" t="s">
        <v>2163</v>
      </c>
      <c r="I17" s="693" t="s">
        <v>2164</v>
      </c>
      <c r="J17" s="847">
        <v>5973422</v>
      </c>
      <c r="K17" s="847">
        <v>7400681</v>
      </c>
      <c r="L17" s="841">
        <v>125723955</v>
      </c>
      <c r="M17" s="847">
        <v>39206347</v>
      </c>
      <c r="N17" s="839">
        <f>Indicadores[[#This Row],[Ventas]]/Indicadores[[#This Row],[Activos totales]]</f>
        <v>0.31184468385519687</v>
      </c>
      <c r="O17" s="837">
        <f>IF(Indicadores[[#This Row],[Ventas]]=0,0,Indicadores[[#This Row],[EBITDA]]/Indicadores[[#This Row],[Ventas]])</f>
        <v>0.18876231952953945</v>
      </c>
      <c r="P17" s="837">
        <f>IF(Indicadores[[#This Row],[Ventas]]=0,0,Indicadores[[#This Row],[UAI]]/Indicadores[[#This Row],[Ventas]])</f>
        <v>0.15235854541612867</v>
      </c>
      <c r="Q17" s="837">
        <f>IFERROR(Indicadores[[#This Row],[Ventas]]/Indicadores[[#This Row],[Activos totales]],0)</f>
        <v>0.31184468385519687</v>
      </c>
    </row>
    <row r="18" spans="1:17" hidden="1" x14ac:dyDescent="0.35">
      <c r="A18" s="13" t="str">
        <f>MID(Indicadores[[#This Row],[CIIU]],2,4)</f>
        <v>0141</v>
      </c>
      <c r="B18" s="13" t="str">
        <f>Indicadores[[#This Row],[CIIU]]&amp;Indicadores[[#This Row],[Año]]</f>
        <v>A01412016</v>
      </c>
      <c r="C18" s="14" t="s">
        <v>2108</v>
      </c>
      <c r="D18" s="14" t="s">
        <v>2109</v>
      </c>
      <c r="E18" s="848">
        <v>2016</v>
      </c>
      <c r="F18" s="856" t="s">
        <v>2165</v>
      </c>
      <c r="G18" s="858" t="s">
        <v>2166</v>
      </c>
      <c r="H18" s="848" t="s">
        <v>2167</v>
      </c>
      <c r="I18" s="693" t="s">
        <v>2166</v>
      </c>
      <c r="J18" s="847">
        <v>114864570</v>
      </c>
      <c r="K18" s="847">
        <v>137123817</v>
      </c>
      <c r="L18" s="841">
        <v>3110974980</v>
      </c>
      <c r="M18" s="847">
        <v>588029858</v>
      </c>
      <c r="N18" s="839">
        <f>Indicadores[[#This Row],[Ventas]]/Indicadores[[#This Row],[Activos totales]]</f>
        <v>0.18901786796112388</v>
      </c>
      <c r="O18" s="837">
        <f>IF(Indicadores[[#This Row],[Ventas]]=0,0,Indicadores[[#This Row],[EBITDA]]/Indicadores[[#This Row],[Ventas]])</f>
        <v>0.23319192917581405</v>
      </c>
      <c r="P18" s="837">
        <f>IF(Indicadores[[#This Row],[Ventas]]=0,0,Indicadores[[#This Row],[UAI]]/Indicadores[[#This Row],[Ventas]])</f>
        <v>0.19533798911279093</v>
      </c>
      <c r="Q18" s="837">
        <f>IFERROR(Indicadores[[#This Row],[Ventas]]/Indicadores[[#This Row],[Activos totales]],0)</f>
        <v>0.18901786796112388</v>
      </c>
    </row>
    <row r="19" spans="1:17" hidden="1" x14ac:dyDescent="0.35">
      <c r="A19" s="13" t="str">
        <f>MID(Indicadores[[#This Row],[CIIU]],2,4)</f>
        <v>0143</v>
      </c>
      <c r="B19" s="13" t="str">
        <f>Indicadores[[#This Row],[CIIU]]&amp;Indicadores[[#This Row],[Año]]</f>
        <v>A01432016</v>
      </c>
      <c r="C19" s="14" t="s">
        <v>2108</v>
      </c>
      <c r="D19" s="14" t="s">
        <v>2109</v>
      </c>
      <c r="E19" s="848">
        <v>2016</v>
      </c>
      <c r="F19" s="856" t="s">
        <v>2168</v>
      </c>
      <c r="G19" s="858" t="s">
        <v>2169</v>
      </c>
      <c r="H19" s="848" t="s">
        <v>2170</v>
      </c>
      <c r="I19" s="693" t="s">
        <v>2171</v>
      </c>
      <c r="J19" s="847">
        <v>2130629</v>
      </c>
      <c r="K19" s="847">
        <v>3191014</v>
      </c>
      <c r="L19" s="841">
        <v>28587097</v>
      </c>
      <c r="M19" s="847">
        <v>62878405</v>
      </c>
      <c r="N19" s="839">
        <f>Indicadores[[#This Row],[Ventas]]/Indicadores[[#This Row],[Activos totales]]</f>
        <v>2.1995379593807654</v>
      </c>
      <c r="O19" s="837">
        <f>IF(Indicadores[[#This Row],[Ventas]]=0,0,Indicadores[[#This Row],[EBITDA]]/Indicadores[[#This Row],[Ventas]])</f>
        <v>5.0748965403941144E-2</v>
      </c>
      <c r="P19" s="837">
        <f>IF(Indicadores[[#This Row],[Ventas]]=0,0,Indicadores[[#This Row],[UAI]]/Indicadores[[#This Row],[Ventas]])</f>
        <v>3.3884908499189827E-2</v>
      </c>
      <c r="Q19" s="837">
        <f>IFERROR(Indicadores[[#This Row],[Ventas]]/Indicadores[[#This Row],[Activos totales]],0)</f>
        <v>2.1995379593807654</v>
      </c>
    </row>
    <row r="20" spans="1:17" hidden="1" x14ac:dyDescent="0.35">
      <c r="A20" s="13" t="str">
        <f>MID(Indicadores[[#This Row],[CIIU]],2,4)</f>
        <v>0144</v>
      </c>
      <c r="B20" s="13" t="str">
        <f>Indicadores[[#This Row],[CIIU]]&amp;Indicadores[[#This Row],[Año]]</f>
        <v>A01442016</v>
      </c>
      <c r="C20" s="14" t="s">
        <v>2108</v>
      </c>
      <c r="D20" s="14" t="s">
        <v>2109</v>
      </c>
      <c r="E20" s="848">
        <v>2016</v>
      </c>
      <c r="F20" s="856" t="s">
        <v>2172</v>
      </c>
      <c r="G20" s="858" t="s">
        <v>2173</v>
      </c>
      <c r="H20" s="848" t="s">
        <v>2174</v>
      </c>
      <c r="I20" s="693" t="s">
        <v>2173</v>
      </c>
      <c r="J20" s="847">
        <v>58927169</v>
      </c>
      <c r="K20" s="847">
        <v>151061526</v>
      </c>
      <c r="L20" s="841">
        <v>1542805804</v>
      </c>
      <c r="M20" s="847">
        <v>1178164592</v>
      </c>
      <c r="N20" s="839">
        <f>Indicadores[[#This Row],[Ventas]]/Indicadores[[#This Row],[Activos totales]]</f>
        <v>0.76365060913395422</v>
      </c>
      <c r="O20" s="837">
        <f>IF(Indicadores[[#This Row],[Ventas]]=0,0,Indicadores[[#This Row],[EBITDA]]/Indicadores[[#This Row],[Ventas]])</f>
        <v>0.12821767605794759</v>
      </c>
      <c r="P20" s="837">
        <f>IF(Indicadores[[#This Row],[Ventas]]=0,0,Indicadores[[#This Row],[UAI]]/Indicadores[[#This Row],[Ventas]])</f>
        <v>5.0016075343062086E-2</v>
      </c>
      <c r="Q20" s="837">
        <f>IFERROR(Indicadores[[#This Row],[Ventas]]/Indicadores[[#This Row],[Activos totales]],0)</f>
        <v>0.76365060913395422</v>
      </c>
    </row>
    <row r="21" spans="1:17" hidden="1" x14ac:dyDescent="0.35">
      <c r="A21" s="13" t="str">
        <f>MID(Indicadores[[#This Row],[CIIU]],2,4)</f>
        <v>0145</v>
      </c>
      <c r="B21" s="13" t="str">
        <f>Indicadores[[#This Row],[CIIU]]&amp;Indicadores[[#This Row],[Año]]</f>
        <v>A01452016</v>
      </c>
      <c r="C21" s="14" t="s">
        <v>2108</v>
      </c>
      <c r="D21" s="14" t="s">
        <v>2109</v>
      </c>
      <c r="E21" s="848">
        <v>2016</v>
      </c>
      <c r="F21" s="856" t="s">
        <v>2175</v>
      </c>
      <c r="G21" s="858" t="s">
        <v>2176</v>
      </c>
      <c r="H21" s="848" t="s">
        <v>2177</v>
      </c>
      <c r="I21" s="693" t="s">
        <v>2176</v>
      </c>
      <c r="J21" s="847">
        <v>277342028</v>
      </c>
      <c r="K21" s="847">
        <v>665117761</v>
      </c>
      <c r="L21" s="841">
        <v>5161766340</v>
      </c>
      <c r="M21" s="847">
        <v>7257573672</v>
      </c>
      <c r="N21" s="839">
        <f>Indicadores[[#This Row],[Ventas]]/Indicadores[[#This Row],[Activos totales]]</f>
        <v>1.406025223528425</v>
      </c>
      <c r="O21" s="837">
        <f>IF(Indicadores[[#This Row],[Ventas]]=0,0,Indicadores[[#This Row],[EBITDA]]/Indicadores[[#This Row],[Ventas]])</f>
        <v>9.1644644761382177E-2</v>
      </c>
      <c r="P21" s="837">
        <f>IF(Indicadores[[#This Row],[Ventas]]=0,0,Indicadores[[#This Row],[UAI]]/Indicadores[[#This Row],[Ventas]])</f>
        <v>3.8214152626517076E-2</v>
      </c>
      <c r="Q21" s="837">
        <f>IFERROR(Indicadores[[#This Row],[Ventas]]/Indicadores[[#This Row],[Activos totales]],0)</f>
        <v>1.406025223528425</v>
      </c>
    </row>
    <row r="22" spans="1:17" hidden="1" x14ac:dyDescent="0.35">
      <c r="A22" s="13" t="str">
        <f>MID(Indicadores[[#This Row],[CIIU]],2,4)</f>
        <v>0149</v>
      </c>
      <c r="B22" s="13" t="str">
        <f>Indicadores[[#This Row],[CIIU]]&amp;Indicadores[[#This Row],[Año]]</f>
        <v>A01492016</v>
      </c>
      <c r="C22" s="14" t="s">
        <v>2108</v>
      </c>
      <c r="D22" s="14" t="s">
        <v>2109</v>
      </c>
      <c r="E22" s="848">
        <v>2016</v>
      </c>
      <c r="F22" s="856" t="s">
        <v>2178</v>
      </c>
      <c r="G22" s="858" t="s">
        <v>2179</v>
      </c>
      <c r="H22" s="848" t="s">
        <v>2180</v>
      </c>
      <c r="I22" s="693" t="s">
        <v>2179</v>
      </c>
      <c r="J22" s="847">
        <v>3283689</v>
      </c>
      <c r="K22" s="847">
        <v>15863146</v>
      </c>
      <c r="L22" s="841">
        <v>184007762</v>
      </c>
      <c r="M22" s="847">
        <v>119764921</v>
      </c>
      <c r="N22" s="839">
        <f>Indicadores[[#This Row],[Ventas]]/Indicadores[[#This Row],[Activos totales]]</f>
        <v>0.65086885302153719</v>
      </c>
      <c r="O22" s="837">
        <f>IF(Indicadores[[#This Row],[Ventas]]=0,0,Indicadores[[#This Row],[EBITDA]]/Indicadores[[#This Row],[Ventas]])</f>
        <v>0.13245235639574296</v>
      </c>
      <c r="P22" s="837">
        <f>IF(Indicadores[[#This Row],[Ventas]]=0,0,Indicadores[[#This Row],[UAI]]/Indicadores[[#This Row],[Ventas]])</f>
        <v>2.741778621471307E-2</v>
      </c>
      <c r="Q22" s="837">
        <f>IFERROR(Indicadores[[#This Row],[Ventas]]/Indicadores[[#This Row],[Activos totales]],0)</f>
        <v>0.65086885302153719</v>
      </c>
    </row>
    <row r="23" spans="1:17" hidden="1" x14ac:dyDescent="0.35">
      <c r="A23" s="13" t="str">
        <f>MID(Indicadores[[#This Row],[CIIU]],2,4)</f>
        <v>0150</v>
      </c>
      <c r="B23" s="13" t="str">
        <f>Indicadores[[#This Row],[CIIU]]&amp;Indicadores[[#This Row],[Año]]</f>
        <v>A01502016</v>
      </c>
      <c r="C23" s="14" t="s">
        <v>2108</v>
      </c>
      <c r="D23" s="14" t="s">
        <v>2109</v>
      </c>
      <c r="E23" s="848">
        <v>2016</v>
      </c>
      <c r="F23" s="856" t="s">
        <v>2181</v>
      </c>
      <c r="G23" s="858" t="s">
        <v>2182</v>
      </c>
      <c r="H23" s="848" t="s">
        <v>2183</v>
      </c>
      <c r="I23" s="693" t="s">
        <v>2184</v>
      </c>
      <c r="J23" s="847">
        <v>91775568</v>
      </c>
      <c r="K23" s="847">
        <v>122957220</v>
      </c>
      <c r="L23" s="841">
        <v>1507350992</v>
      </c>
      <c r="M23" s="847">
        <v>193866983</v>
      </c>
      <c r="N23" s="839">
        <f>Indicadores[[#This Row],[Ventas]]/Indicadores[[#This Row],[Activos totales]]</f>
        <v>0.12861435991279727</v>
      </c>
      <c r="O23" s="837">
        <f>IF(Indicadores[[#This Row],[Ventas]]=0,0,Indicadores[[#This Row],[EBITDA]]/Indicadores[[#This Row],[Ventas]])</f>
        <v>0.63423496924177125</v>
      </c>
      <c r="P23" s="837">
        <f>IF(Indicadores[[#This Row],[Ventas]]=0,0,Indicadores[[#This Row],[UAI]]/Indicadores[[#This Row],[Ventas]])</f>
        <v>0.47339452329538756</v>
      </c>
      <c r="Q23" s="837">
        <f>IFERROR(Indicadores[[#This Row],[Ventas]]/Indicadores[[#This Row],[Activos totales]],0)</f>
        <v>0.12861435991279727</v>
      </c>
    </row>
    <row r="24" spans="1:17" hidden="1" x14ac:dyDescent="0.35">
      <c r="A24" s="13" t="str">
        <f>MID(Indicadores[[#This Row],[CIIU]],2,4)</f>
        <v>0161</v>
      </c>
      <c r="B24" s="13" t="str">
        <f>Indicadores[[#This Row],[CIIU]]&amp;Indicadores[[#This Row],[Año]]</f>
        <v>A01612016</v>
      </c>
      <c r="C24" s="14" t="s">
        <v>2108</v>
      </c>
      <c r="D24" s="14" t="s">
        <v>2109</v>
      </c>
      <c r="E24" s="848">
        <v>2016</v>
      </c>
      <c r="F24" s="856" t="s">
        <v>2185</v>
      </c>
      <c r="G24" s="858" t="s">
        <v>2186</v>
      </c>
      <c r="H24" s="848" t="s">
        <v>2187</v>
      </c>
      <c r="I24" s="693" t="s">
        <v>2188</v>
      </c>
      <c r="J24" s="847">
        <v>11097871</v>
      </c>
      <c r="K24" s="847">
        <v>25449471</v>
      </c>
      <c r="L24" s="841">
        <v>911306358</v>
      </c>
      <c r="M24" s="847">
        <v>472073729</v>
      </c>
      <c r="N24" s="839">
        <f>Indicadores[[#This Row],[Ventas]]/Indicadores[[#This Row],[Activos totales]]</f>
        <v>0.5180186935555211</v>
      </c>
      <c r="O24" s="837">
        <f>IF(Indicadores[[#This Row],[Ventas]]=0,0,Indicadores[[#This Row],[EBITDA]]/Indicadores[[#This Row],[Ventas]])</f>
        <v>5.3909949731602201E-2</v>
      </c>
      <c r="P24" s="837">
        <f>IF(Indicadores[[#This Row],[Ventas]]=0,0,Indicadores[[#This Row],[UAI]]/Indicadores[[#This Row],[Ventas]])</f>
        <v>2.350876636051908E-2</v>
      </c>
      <c r="Q24" s="837">
        <f>IFERROR(Indicadores[[#This Row],[Ventas]]/Indicadores[[#This Row],[Activos totales]],0)</f>
        <v>0.5180186935555211</v>
      </c>
    </row>
    <row r="25" spans="1:17" hidden="1" x14ac:dyDescent="0.35">
      <c r="A25" s="13" t="str">
        <f>MID(Indicadores[[#This Row],[CIIU]],2,4)</f>
        <v>0162</v>
      </c>
      <c r="B25" s="13" t="str">
        <f>Indicadores[[#This Row],[CIIU]]&amp;Indicadores[[#This Row],[Año]]</f>
        <v>A01622016</v>
      </c>
      <c r="C25" s="14" t="s">
        <v>2108</v>
      </c>
      <c r="D25" s="14" t="s">
        <v>2109</v>
      </c>
      <c r="E25" s="848">
        <v>2016</v>
      </c>
      <c r="F25" s="856" t="s">
        <v>2189</v>
      </c>
      <c r="G25" s="858" t="s">
        <v>2190</v>
      </c>
      <c r="H25" s="848" t="s">
        <v>2191</v>
      </c>
      <c r="I25" s="693" t="s">
        <v>2190</v>
      </c>
      <c r="J25" s="847">
        <v>18529574</v>
      </c>
      <c r="K25" s="847">
        <v>23788869</v>
      </c>
      <c r="L25" s="841">
        <v>181299417</v>
      </c>
      <c r="M25" s="847">
        <v>130793267</v>
      </c>
      <c r="N25" s="839">
        <f>Indicadores[[#This Row],[Ventas]]/Indicadores[[#This Row],[Activos totales]]</f>
        <v>0.72142133253522822</v>
      </c>
      <c r="O25" s="837">
        <f>IF(Indicadores[[#This Row],[Ventas]]=0,0,Indicadores[[#This Row],[EBITDA]]/Indicadores[[#This Row],[Ventas]])</f>
        <v>0.18188144960091868</v>
      </c>
      <c r="P25" s="837">
        <f>IF(Indicadores[[#This Row],[Ventas]]=0,0,Indicadores[[#This Row],[UAI]]/Indicadores[[#This Row],[Ventas]])</f>
        <v>0.14167070236115442</v>
      </c>
      <c r="Q25" s="837">
        <f>IFERROR(Indicadores[[#This Row],[Ventas]]/Indicadores[[#This Row],[Activos totales]],0)</f>
        <v>0.72142133253522822</v>
      </c>
    </row>
    <row r="26" spans="1:17" hidden="1" x14ac:dyDescent="0.35">
      <c r="A26" s="13" t="str">
        <f>MID(Indicadores[[#This Row],[CIIU]],2,4)</f>
        <v>0163</v>
      </c>
      <c r="B26" s="13" t="str">
        <f>Indicadores[[#This Row],[CIIU]]&amp;Indicadores[[#This Row],[Año]]</f>
        <v>A01632016</v>
      </c>
      <c r="C26" s="14" t="s">
        <v>2108</v>
      </c>
      <c r="D26" s="14" t="s">
        <v>2109</v>
      </c>
      <c r="E26" s="848">
        <v>2016</v>
      </c>
      <c r="F26" s="856" t="s">
        <v>2192</v>
      </c>
      <c r="G26" s="858" t="s">
        <v>2193</v>
      </c>
      <c r="H26" s="848" t="s">
        <v>2194</v>
      </c>
      <c r="I26" s="693" t="s">
        <v>2195</v>
      </c>
      <c r="J26" s="847">
        <v>-3212138</v>
      </c>
      <c r="K26" s="847">
        <v>-2176265</v>
      </c>
      <c r="L26" s="841">
        <v>63009943</v>
      </c>
      <c r="M26" s="847">
        <v>3364531</v>
      </c>
      <c r="N26" s="839">
        <f>Indicadores[[#This Row],[Ventas]]/Indicadores[[#This Row],[Activos totales]]</f>
        <v>5.3396826592907724E-2</v>
      </c>
      <c r="O26" s="837">
        <f>IF(Indicadores[[#This Row],[Ventas]]=0,0,Indicadores[[#This Row],[EBITDA]]/Indicadores[[#This Row],[Ventas]])</f>
        <v>-0.64682566455770507</v>
      </c>
      <c r="P26" s="837">
        <f>IF(Indicadores[[#This Row],[Ventas]]=0,0,Indicadores[[#This Row],[UAI]]/Indicadores[[#This Row],[Ventas]])</f>
        <v>-0.95470601994750537</v>
      </c>
      <c r="Q26" s="837">
        <f>IFERROR(Indicadores[[#This Row],[Ventas]]/Indicadores[[#This Row],[Activos totales]],0)</f>
        <v>5.3396826592907724E-2</v>
      </c>
    </row>
    <row r="27" spans="1:17" hidden="1" x14ac:dyDescent="0.35">
      <c r="A27" s="13" t="str">
        <f>MID(Indicadores[[#This Row],[CIIU]],2,4)</f>
        <v>0164</v>
      </c>
      <c r="B27" s="13" t="str">
        <f>Indicadores[[#This Row],[CIIU]]&amp;Indicadores[[#This Row],[Año]]</f>
        <v>A01642016</v>
      </c>
      <c r="C27" s="14" t="s">
        <v>2108</v>
      </c>
      <c r="D27" s="14" t="s">
        <v>2109</v>
      </c>
      <c r="E27" s="848">
        <v>2016</v>
      </c>
      <c r="F27" s="856" t="s">
        <v>2196</v>
      </c>
      <c r="G27" s="858" t="s">
        <v>2197</v>
      </c>
      <c r="H27" s="848" t="s">
        <v>2198</v>
      </c>
      <c r="I27" s="693" t="s">
        <v>2199</v>
      </c>
      <c r="J27" s="847">
        <v>1071202</v>
      </c>
      <c r="K27" s="847">
        <v>1549061</v>
      </c>
      <c r="L27" s="841">
        <v>20645600</v>
      </c>
      <c r="M27" s="847">
        <v>14652933</v>
      </c>
      <c r="N27" s="839">
        <f>Indicadores[[#This Row],[Ventas]]/Indicadores[[#This Row],[Activos totales]]</f>
        <v>0.70973636028984388</v>
      </c>
      <c r="O27" s="837">
        <f>IF(Indicadores[[#This Row],[Ventas]]=0,0,Indicadores[[#This Row],[EBITDA]]/Indicadores[[#This Row],[Ventas]])</f>
        <v>0.10571678721249869</v>
      </c>
      <c r="P27" s="837">
        <f>IF(Indicadores[[#This Row],[Ventas]]=0,0,Indicadores[[#This Row],[UAI]]/Indicadores[[#This Row],[Ventas]])</f>
        <v>7.3104954482491658E-2</v>
      </c>
      <c r="Q27" s="837">
        <f>IFERROR(Indicadores[[#This Row],[Ventas]]/Indicadores[[#This Row],[Activos totales]],0)</f>
        <v>0.70973636028984388</v>
      </c>
    </row>
    <row r="28" spans="1:17" hidden="1" x14ac:dyDescent="0.35">
      <c r="A28" s="13" t="str">
        <f>MID(Indicadores[[#This Row],[CIIU]],2,4)</f>
        <v>0210</v>
      </c>
      <c r="B28" s="13" t="str">
        <f>Indicadores[[#This Row],[CIIU]]&amp;Indicadores[[#This Row],[Año]]</f>
        <v>A02102016</v>
      </c>
      <c r="C28" s="14" t="s">
        <v>2108</v>
      </c>
      <c r="D28" s="14" t="s">
        <v>2200</v>
      </c>
      <c r="E28" s="848">
        <v>2016</v>
      </c>
      <c r="F28" s="856" t="s">
        <v>2201</v>
      </c>
      <c r="G28" s="858" t="s">
        <v>2202</v>
      </c>
      <c r="H28" s="848" t="s">
        <v>2203</v>
      </c>
      <c r="I28" s="693" t="s">
        <v>2202</v>
      </c>
      <c r="J28" s="847">
        <v>144421399</v>
      </c>
      <c r="K28" s="847">
        <v>166220941</v>
      </c>
      <c r="L28" s="841">
        <v>1956062354</v>
      </c>
      <c r="M28" s="847">
        <v>127592540</v>
      </c>
      <c r="N28" s="839">
        <f>Indicadores[[#This Row],[Ventas]]/Indicadores[[#This Row],[Activos totales]]</f>
        <v>6.5229280518119923E-2</v>
      </c>
      <c r="O28" s="837">
        <f>IF(Indicadores[[#This Row],[Ventas]]=0,0,Indicadores[[#This Row],[EBITDA]]/Indicadores[[#This Row],[Ventas]])</f>
        <v>1.3027481152111244</v>
      </c>
      <c r="P28" s="837">
        <f>IF(Indicadores[[#This Row],[Ventas]]=0,0,Indicadores[[#This Row],[UAI]]/Indicadores[[#This Row],[Ventas]])</f>
        <v>1.1318953208392903</v>
      </c>
      <c r="Q28" s="837">
        <f>IFERROR(Indicadores[[#This Row],[Ventas]]/Indicadores[[#This Row],[Activos totales]],0)</f>
        <v>6.5229280518119923E-2</v>
      </c>
    </row>
    <row r="29" spans="1:17" hidden="1" x14ac:dyDescent="0.35">
      <c r="A29" s="13" t="str">
        <f>MID(Indicadores[[#This Row],[CIIU]],2,4)</f>
        <v>0220</v>
      </c>
      <c r="B29" s="13" t="str">
        <f>Indicadores[[#This Row],[CIIU]]&amp;Indicadores[[#This Row],[Año]]</f>
        <v>A02202016</v>
      </c>
      <c r="C29" s="14" t="s">
        <v>2108</v>
      </c>
      <c r="D29" s="14" t="s">
        <v>2200</v>
      </c>
      <c r="E29" s="848">
        <v>2016</v>
      </c>
      <c r="F29" s="856" t="s">
        <v>2204</v>
      </c>
      <c r="G29" s="858" t="s">
        <v>2205</v>
      </c>
      <c r="H29" s="848" t="s">
        <v>2206</v>
      </c>
      <c r="I29" s="693" t="s">
        <v>2207</v>
      </c>
      <c r="J29" s="847">
        <v>33523240</v>
      </c>
      <c r="K29" s="847">
        <v>21626523</v>
      </c>
      <c r="L29" s="841">
        <v>277057547</v>
      </c>
      <c r="M29" s="847">
        <v>25580263</v>
      </c>
      <c r="N29" s="839">
        <f>Indicadores[[#This Row],[Ventas]]/Indicadores[[#This Row],[Activos totales]]</f>
        <v>9.2328338559931014E-2</v>
      </c>
      <c r="O29" s="837">
        <f>IF(Indicadores[[#This Row],[Ventas]]=0,0,Indicadores[[#This Row],[EBITDA]]/Indicadores[[#This Row],[Ventas]])</f>
        <v>0.84543786746836813</v>
      </c>
      <c r="P29" s="837">
        <f>IF(Indicadores[[#This Row],[Ventas]]=0,0,Indicadores[[#This Row],[UAI]]/Indicadores[[#This Row],[Ventas]])</f>
        <v>1.3105119364879088</v>
      </c>
      <c r="Q29" s="837">
        <f>IFERROR(Indicadores[[#This Row],[Ventas]]/Indicadores[[#This Row],[Activos totales]],0)</f>
        <v>9.2328338559931014E-2</v>
      </c>
    </row>
    <row r="30" spans="1:17" hidden="1" x14ac:dyDescent="0.35">
      <c r="A30" s="13" t="str">
        <f>MID(Indicadores[[#This Row],[CIIU]],2,4)</f>
        <v>0240</v>
      </c>
      <c r="B30" s="13" t="str">
        <f>Indicadores[[#This Row],[CIIU]]&amp;Indicadores[[#This Row],[Año]]</f>
        <v>A02402016</v>
      </c>
      <c r="C30" s="14" t="s">
        <v>2108</v>
      </c>
      <c r="D30" s="14" t="s">
        <v>2200</v>
      </c>
      <c r="E30" s="848">
        <v>2016</v>
      </c>
      <c r="F30" s="856" t="s">
        <v>2208</v>
      </c>
      <c r="G30" s="858" t="s">
        <v>2209</v>
      </c>
      <c r="H30" s="848" t="s">
        <v>2210</v>
      </c>
      <c r="I30" s="693" t="s">
        <v>2211</v>
      </c>
      <c r="J30" s="847">
        <v>1228759</v>
      </c>
      <c r="K30" s="847">
        <v>2320387</v>
      </c>
      <c r="L30" s="841">
        <v>30443454</v>
      </c>
      <c r="M30" s="847">
        <v>21246929</v>
      </c>
      <c r="N30" s="839">
        <f>Indicadores[[#This Row],[Ventas]]/Indicadores[[#This Row],[Activos totales]]</f>
        <v>0.69791453361369571</v>
      </c>
      <c r="O30" s="837">
        <f>IF(Indicadores[[#This Row],[Ventas]]=0,0,Indicadores[[#This Row],[EBITDA]]/Indicadores[[#This Row],[Ventas]])</f>
        <v>0.10921046519240499</v>
      </c>
      <c r="P30" s="837">
        <f>IF(Indicadores[[#This Row],[Ventas]]=0,0,Indicadores[[#This Row],[UAI]]/Indicadores[[#This Row],[Ventas]])</f>
        <v>5.7832310730647235E-2</v>
      </c>
      <c r="Q30" s="837">
        <f>IFERROR(Indicadores[[#This Row],[Ventas]]/Indicadores[[#This Row],[Activos totales]],0)</f>
        <v>0.69791453361369571</v>
      </c>
    </row>
    <row r="31" spans="1:17" hidden="1" x14ac:dyDescent="0.35">
      <c r="A31" s="13" t="str">
        <f>MID(Indicadores[[#This Row],[CIIU]],2,4)</f>
        <v>0311</v>
      </c>
      <c r="B31" s="13" t="str">
        <f>Indicadores[[#This Row],[CIIU]]&amp;Indicadores[[#This Row],[Año]]</f>
        <v>A03112016</v>
      </c>
      <c r="C31" s="14" t="s">
        <v>2108</v>
      </c>
      <c r="D31" s="14" t="s">
        <v>2212</v>
      </c>
      <c r="E31" s="848">
        <v>2016</v>
      </c>
      <c r="F31" s="856" t="s">
        <v>2213</v>
      </c>
      <c r="G31" s="858" t="s">
        <v>2214</v>
      </c>
      <c r="H31" s="848" t="s">
        <v>2215</v>
      </c>
      <c r="I31" s="693" t="s">
        <v>2216</v>
      </c>
      <c r="J31" s="847">
        <v>-1418591</v>
      </c>
      <c r="K31" s="847">
        <v>2124379</v>
      </c>
      <c r="L31" s="841">
        <v>51674768</v>
      </c>
      <c r="M31" s="847">
        <v>77187944</v>
      </c>
      <c r="N31" s="839">
        <f>Indicadores[[#This Row],[Ventas]]/Indicadores[[#This Row],[Activos totales]]</f>
        <v>1.4937259902163469</v>
      </c>
      <c r="O31" s="837">
        <f>IF(Indicadores[[#This Row],[Ventas]]=0,0,Indicadores[[#This Row],[EBITDA]]/Indicadores[[#This Row],[Ventas]])</f>
        <v>2.7522160714631809E-2</v>
      </c>
      <c r="P31" s="837">
        <f>IF(Indicadores[[#This Row],[Ventas]]=0,0,Indicadores[[#This Row],[UAI]]/Indicadores[[#This Row],[Ventas]])</f>
        <v>-1.8378401165860824E-2</v>
      </c>
      <c r="Q31" s="837">
        <f>IFERROR(Indicadores[[#This Row],[Ventas]]/Indicadores[[#This Row],[Activos totales]],0)</f>
        <v>1.4937259902163469</v>
      </c>
    </row>
    <row r="32" spans="1:17" hidden="1" x14ac:dyDescent="0.35">
      <c r="A32" s="13" t="str">
        <f>MID(Indicadores[[#This Row],[CIIU]],2,4)</f>
        <v>0312</v>
      </c>
      <c r="B32" s="13" t="str">
        <f>Indicadores[[#This Row],[CIIU]]&amp;Indicadores[[#This Row],[Año]]</f>
        <v>A03122016</v>
      </c>
      <c r="C32" s="14" t="s">
        <v>2108</v>
      </c>
      <c r="D32" s="14" t="s">
        <v>2212</v>
      </c>
      <c r="E32" s="848">
        <v>2016</v>
      </c>
      <c r="F32" s="856" t="s">
        <v>2217</v>
      </c>
      <c r="G32" s="858" t="s">
        <v>2218</v>
      </c>
      <c r="H32" s="848" t="s">
        <v>2219</v>
      </c>
      <c r="I32" s="693" t="s">
        <v>2220</v>
      </c>
      <c r="J32" s="847">
        <v>2569040</v>
      </c>
      <c r="K32" s="847">
        <v>5281649</v>
      </c>
      <c r="L32" s="841">
        <v>36345216</v>
      </c>
      <c r="M32" s="847">
        <v>51924727</v>
      </c>
      <c r="N32" s="839">
        <f>Indicadores[[#This Row],[Ventas]]/Indicadores[[#This Row],[Activos totales]]</f>
        <v>1.4286536913138719</v>
      </c>
      <c r="O32" s="837">
        <f>IF(Indicadores[[#This Row],[Ventas]]=0,0,Indicadores[[#This Row],[EBITDA]]/Indicadores[[#This Row],[Ventas]])</f>
        <v>0.10171741490330802</v>
      </c>
      <c r="P32" s="837">
        <f>IF(Indicadores[[#This Row],[Ventas]]=0,0,Indicadores[[#This Row],[UAI]]/Indicadores[[#This Row],[Ventas]])</f>
        <v>4.9476235089305334E-2</v>
      </c>
      <c r="Q32" s="837">
        <f>IFERROR(Indicadores[[#This Row],[Ventas]]/Indicadores[[#This Row],[Activos totales]],0)</f>
        <v>1.4286536913138719</v>
      </c>
    </row>
    <row r="33" spans="1:17" hidden="1" x14ac:dyDescent="0.35">
      <c r="A33" s="13" t="str">
        <f>MID(Indicadores[[#This Row],[CIIU]],2,4)</f>
        <v>0321</v>
      </c>
      <c r="B33" s="13" t="str">
        <f>Indicadores[[#This Row],[CIIU]]&amp;Indicadores[[#This Row],[Año]]</f>
        <v>A03212016</v>
      </c>
      <c r="C33" s="14" t="s">
        <v>2108</v>
      </c>
      <c r="D33" s="14" t="s">
        <v>2212</v>
      </c>
      <c r="E33" s="848">
        <v>2016</v>
      </c>
      <c r="F33" s="856" t="s">
        <v>2221</v>
      </c>
      <c r="G33" s="857" t="s">
        <v>2222</v>
      </c>
      <c r="H33" s="848" t="s">
        <v>2223</v>
      </c>
      <c r="I33" s="693" t="s">
        <v>2224</v>
      </c>
      <c r="J33" s="847">
        <v>4446447</v>
      </c>
      <c r="K33" s="847">
        <v>11477217</v>
      </c>
      <c r="L33" s="841">
        <v>145114767</v>
      </c>
      <c r="M33" s="847">
        <v>56599731</v>
      </c>
      <c r="N33" s="839">
        <f>Indicadores[[#This Row],[Ventas]]/Indicadores[[#This Row],[Activos totales]]</f>
        <v>0.39003426164065025</v>
      </c>
      <c r="O33" s="837">
        <f>IF(Indicadores[[#This Row],[Ventas]]=0,0,Indicadores[[#This Row],[EBITDA]]/Indicadores[[#This Row],[Ventas]])</f>
        <v>0.20277864924835068</v>
      </c>
      <c r="P33" s="837">
        <f>IF(Indicadores[[#This Row],[Ventas]]=0,0,Indicadores[[#This Row],[UAI]]/Indicadores[[#This Row],[Ventas]])</f>
        <v>7.8559507641476248E-2</v>
      </c>
      <c r="Q33" s="837">
        <f>IFERROR(Indicadores[[#This Row],[Ventas]]/Indicadores[[#This Row],[Activos totales]],0)</f>
        <v>0.39003426164065025</v>
      </c>
    </row>
    <row r="34" spans="1:17" hidden="1" x14ac:dyDescent="0.35">
      <c r="A34" s="13" t="str">
        <f>MID(Indicadores[[#This Row],[CIIU]],2,4)</f>
        <v>0322</v>
      </c>
      <c r="B34" s="13" t="str">
        <f>Indicadores[[#This Row],[CIIU]]&amp;Indicadores[[#This Row],[Año]]</f>
        <v>A03222016</v>
      </c>
      <c r="C34" s="14" t="s">
        <v>2108</v>
      </c>
      <c r="D34" s="14" t="s">
        <v>2212</v>
      </c>
      <c r="E34" s="848">
        <v>2016</v>
      </c>
      <c r="F34" s="856" t="s">
        <v>2225</v>
      </c>
      <c r="G34" s="858" t="s">
        <v>2226</v>
      </c>
      <c r="H34" s="848" t="s">
        <v>2227</v>
      </c>
      <c r="I34" s="693" t="s">
        <v>2226</v>
      </c>
      <c r="J34" s="847">
        <v>10560982</v>
      </c>
      <c r="K34" s="847">
        <v>17538310</v>
      </c>
      <c r="L34" s="841">
        <v>170544536</v>
      </c>
      <c r="M34" s="847">
        <v>204236050</v>
      </c>
      <c r="N34" s="839">
        <f>Indicadores[[#This Row],[Ventas]]/Indicadores[[#This Row],[Activos totales]]</f>
        <v>1.1975525853258646</v>
      </c>
      <c r="O34" s="837">
        <f>IF(Indicadores[[#This Row],[Ventas]]=0,0,Indicadores[[#This Row],[EBITDA]]/Indicadores[[#This Row],[Ventas]])</f>
        <v>8.5872743817754019E-2</v>
      </c>
      <c r="P34" s="837">
        <f>IF(Indicadores[[#This Row],[Ventas]]=0,0,Indicadores[[#This Row],[UAI]]/Indicadores[[#This Row],[Ventas]])</f>
        <v>5.1709685924693508E-2</v>
      </c>
      <c r="Q34" s="837">
        <f>IFERROR(Indicadores[[#This Row],[Ventas]]/Indicadores[[#This Row],[Activos totales]],0)</f>
        <v>1.1975525853258646</v>
      </c>
    </row>
    <row r="35" spans="1:17" hidden="1" x14ac:dyDescent="0.35">
      <c r="A35" s="13" t="str">
        <f>MID(Indicadores[[#This Row],[CIIU]],2,4)</f>
        <v>0510</v>
      </c>
      <c r="B35" s="13" t="str">
        <f>Indicadores[[#This Row],[CIIU]]&amp;Indicadores[[#This Row],[Año]]</f>
        <v>B05102016</v>
      </c>
      <c r="C35" s="14" t="s">
        <v>2228</v>
      </c>
      <c r="D35" s="14" t="s">
        <v>2229</v>
      </c>
      <c r="E35" s="848">
        <v>2016</v>
      </c>
      <c r="F35" s="856" t="s">
        <v>2230</v>
      </c>
      <c r="G35" s="858" t="s">
        <v>2231</v>
      </c>
      <c r="H35" s="848" t="s">
        <v>2232</v>
      </c>
      <c r="I35" s="693" t="s">
        <v>2231</v>
      </c>
      <c r="J35" s="847">
        <v>1175073951</v>
      </c>
      <c r="K35" s="847">
        <v>2520462271</v>
      </c>
      <c r="L35" s="841">
        <v>26632832034</v>
      </c>
      <c r="M35" s="847">
        <v>13811193897</v>
      </c>
      <c r="N35" s="839">
        <f>Indicadores[[#This Row],[Ventas]]/Indicadores[[#This Row],[Activos totales]]</f>
        <v>0.51857774191525541</v>
      </c>
      <c r="O35" s="837">
        <f>IF(Indicadores[[#This Row],[Ventas]]=0,0,Indicadores[[#This Row],[EBITDA]]/Indicadores[[#This Row],[Ventas]])</f>
        <v>0.18249416305331015</v>
      </c>
      <c r="P35" s="837">
        <f>IF(Indicadores[[#This Row],[Ventas]]=0,0,Indicadores[[#This Row],[UAI]]/Indicadores[[#This Row],[Ventas]])</f>
        <v>8.5081272463725516E-2</v>
      </c>
      <c r="Q35" s="837">
        <f>IFERROR(Indicadores[[#This Row],[Ventas]]/Indicadores[[#This Row],[Activos totales]],0)</f>
        <v>0.51857774191525541</v>
      </c>
    </row>
    <row r="36" spans="1:17" hidden="1" x14ac:dyDescent="0.35">
      <c r="A36" s="13" t="str">
        <f>MID(Indicadores[[#This Row],[CIIU]],2,4)</f>
        <v>0520</v>
      </c>
      <c r="B36" s="13" t="str">
        <f>Indicadores[[#This Row],[CIIU]]&amp;Indicadores[[#This Row],[Año]]</f>
        <v>B05202016</v>
      </c>
      <c r="C36" s="14" t="s">
        <v>2228</v>
      </c>
      <c r="D36" s="14" t="s">
        <v>2229</v>
      </c>
      <c r="E36" s="848">
        <v>2016</v>
      </c>
      <c r="F36" s="856" t="s">
        <v>2233</v>
      </c>
      <c r="G36" s="857" t="s">
        <v>2234</v>
      </c>
      <c r="H36" s="848" t="s">
        <v>2235</v>
      </c>
      <c r="I36" s="693" t="s">
        <v>2234</v>
      </c>
      <c r="J36" s="847">
        <v>-278845</v>
      </c>
      <c r="K36" s="847">
        <v>-199424</v>
      </c>
      <c r="L36" s="841">
        <v>7421348</v>
      </c>
      <c r="M36" s="847">
        <v>0</v>
      </c>
      <c r="N36" s="839">
        <f>Indicadores[[#This Row],[Ventas]]/Indicadores[[#This Row],[Activos totales]]</f>
        <v>0</v>
      </c>
      <c r="O36" s="837">
        <f>IF(Indicadores[[#This Row],[Ventas]]=0,0,Indicadores[[#This Row],[EBITDA]]/Indicadores[[#This Row],[Ventas]])</f>
        <v>0</v>
      </c>
      <c r="P36" s="837">
        <f>IF(Indicadores[[#This Row],[Ventas]]=0,0,Indicadores[[#This Row],[UAI]]/Indicadores[[#This Row],[Ventas]])</f>
        <v>0</v>
      </c>
      <c r="Q36" s="837">
        <f>IFERROR(Indicadores[[#This Row],[Ventas]]/Indicadores[[#This Row],[Activos totales]],0)</f>
        <v>0</v>
      </c>
    </row>
    <row r="37" spans="1:17" hidden="1" x14ac:dyDescent="0.35">
      <c r="A37" s="13" t="str">
        <f>MID(Indicadores[[#This Row],[CIIU]],2,4)</f>
        <v>0610</v>
      </c>
      <c r="B37" s="13" t="str">
        <f>Indicadores[[#This Row],[CIIU]]&amp;Indicadores[[#This Row],[Año]]</f>
        <v>B06102016</v>
      </c>
      <c r="C37" s="14" t="s">
        <v>2228</v>
      </c>
      <c r="D37" s="14" t="s">
        <v>2236</v>
      </c>
      <c r="E37" s="848">
        <v>2016</v>
      </c>
      <c r="F37" s="856" t="s">
        <v>2237</v>
      </c>
      <c r="G37" s="858" t="s">
        <v>2238</v>
      </c>
      <c r="H37" s="848" t="s">
        <v>2239</v>
      </c>
      <c r="I37" s="693" t="s">
        <v>2238</v>
      </c>
      <c r="J37" s="847">
        <v>332489379</v>
      </c>
      <c r="K37" s="847">
        <v>5144657886</v>
      </c>
      <c r="L37" s="841">
        <v>31590298237</v>
      </c>
      <c r="M37" s="847">
        <v>12672628054</v>
      </c>
      <c r="N37" s="839">
        <f>Indicadores[[#This Row],[Ventas]]/Indicadores[[#This Row],[Activos totales]]</f>
        <v>0.40115569530006018</v>
      </c>
      <c r="O37" s="837">
        <f>IF(Indicadores[[#This Row],[Ventas]]=0,0,Indicadores[[#This Row],[EBITDA]]/Indicadores[[#This Row],[Ventas]])</f>
        <v>0.4059661393104752</v>
      </c>
      <c r="P37" s="837">
        <f>IF(Indicadores[[#This Row],[Ventas]]=0,0,Indicadores[[#This Row],[UAI]]/Indicadores[[#This Row],[Ventas]])</f>
        <v>2.6236813515177124E-2</v>
      </c>
      <c r="Q37" s="837">
        <f>IFERROR(Indicadores[[#This Row],[Ventas]]/Indicadores[[#This Row],[Activos totales]],0)</f>
        <v>0.40115569530006018</v>
      </c>
    </row>
    <row r="38" spans="1:17" hidden="1" x14ac:dyDescent="0.35">
      <c r="A38" s="13" t="str">
        <f>MID(Indicadores[[#This Row],[CIIU]],2,4)</f>
        <v>0620</v>
      </c>
      <c r="B38" s="13" t="str">
        <f>Indicadores[[#This Row],[CIIU]]&amp;Indicadores[[#This Row],[Año]]</f>
        <v>B06202016</v>
      </c>
      <c r="C38" s="14" t="s">
        <v>2228</v>
      </c>
      <c r="D38" s="14" t="s">
        <v>2236</v>
      </c>
      <c r="E38" s="848">
        <v>2016</v>
      </c>
      <c r="F38" s="856" t="s">
        <v>2240</v>
      </c>
      <c r="G38" s="857" t="s">
        <v>2241</v>
      </c>
      <c r="H38" s="848" t="s">
        <v>2242</v>
      </c>
      <c r="I38" s="693" t="s">
        <v>2241</v>
      </c>
      <c r="J38" s="847">
        <v>69490788</v>
      </c>
      <c r="K38" s="847">
        <v>134400135</v>
      </c>
      <c r="L38" s="841">
        <v>1886190745</v>
      </c>
      <c r="M38" s="847">
        <v>299137014</v>
      </c>
      <c r="N38" s="839">
        <f>Indicadores[[#This Row],[Ventas]]/Indicadores[[#This Row],[Activos totales]]</f>
        <v>0.15859319360619598</v>
      </c>
      <c r="O38" s="837">
        <f>IF(Indicadores[[#This Row],[Ventas]]=0,0,Indicadores[[#This Row],[EBITDA]]/Indicadores[[#This Row],[Ventas]])</f>
        <v>0.44929289492740609</v>
      </c>
      <c r="P38" s="837">
        <f>IF(Indicadores[[#This Row],[Ventas]]=0,0,Indicadores[[#This Row],[UAI]]/Indicadores[[#This Row],[Ventas]])</f>
        <v>0.23230421093927212</v>
      </c>
      <c r="Q38" s="837">
        <f>IFERROR(Indicadores[[#This Row],[Ventas]]/Indicadores[[#This Row],[Activos totales]],0)</f>
        <v>0.15859319360619598</v>
      </c>
    </row>
    <row r="39" spans="1:17" hidden="1" x14ac:dyDescent="0.35">
      <c r="A39" s="13" t="str">
        <f>MID(Indicadores[[#This Row],[CIIU]],2,4)</f>
        <v>0710</v>
      </c>
      <c r="B39" s="13" t="str">
        <f>Indicadores[[#This Row],[CIIU]]&amp;Indicadores[[#This Row],[Año]]</f>
        <v>B07102016</v>
      </c>
      <c r="C39" s="14" t="s">
        <v>2228</v>
      </c>
      <c r="D39" s="14" t="s">
        <v>2243</v>
      </c>
      <c r="E39" s="848">
        <v>2016</v>
      </c>
      <c r="F39" s="856" t="s">
        <v>2244</v>
      </c>
      <c r="G39" s="858" t="s">
        <v>2245</v>
      </c>
      <c r="H39" s="848" t="s">
        <v>2246</v>
      </c>
      <c r="I39" s="693" t="s">
        <v>2245</v>
      </c>
      <c r="J39" s="847">
        <v>-318668</v>
      </c>
      <c r="K39" s="847">
        <v>-301121</v>
      </c>
      <c r="L39" s="841">
        <v>4401752</v>
      </c>
      <c r="M39" s="847">
        <v>1913419</v>
      </c>
      <c r="N39" s="839">
        <f>Indicadores[[#This Row],[Ventas]]/Indicadores[[#This Row],[Activos totales]]</f>
        <v>0.43469486695297693</v>
      </c>
      <c r="O39" s="837">
        <f>IF(Indicadores[[#This Row],[Ventas]]=0,0,Indicadores[[#This Row],[EBITDA]]/Indicadores[[#This Row],[Ventas]])</f>
        <v>-0.15737326743384486</v>
      </c>
      <c r="P39" s="837">
        <f>IF(Indicadores[[#This Row],[Ventas]]=0,0,Indicadores[[#This Row],[UAI]]/Indicadores[[#This Row],[Ventas]])</f>
        <v>-0.16654376276184149</v>
      </c>
      <c r="Q39" s="837">
        <f>IFERROR(Indicadores[[#This Row],[Ventas]]/Indicadores[[#This Row],[Activos totales]],0)</f>
        <v>0.43469486695297693</v>
      </c>
    </row>
    <row r="40" spans="1:17" hidden="1" x14ac:dyDescent="0.35">
      <c r="A40" s="13" t="str">
        <f>MID(Indicadores[[#This Row],[CIIU]],2,4)</f>
        <v>0722</v>
      </c>
      <c r="B40" s="13" t="str">
        <f>Indicadores[[#This Row],[CIIU]]&amp;Indicadores[[#This Row],[Año]]</f>
        <v>B07222016</v>
      </c>
      <c r="C40" s="14" t="s">
        <v>2228</v>
      </c>
      <c r="D40" s="14" t="s">
        <v>2243</v>
      </c>
      <c r="E40" s="848">
        <v>2016</v>
      </c>
      <c r="F40" s="856" t="s">
        <v>2247</v>
      </c>
      <c r="G40" s="858" t="s">
        <v>2248</v>
      </c>
      <c r="H40" s="848" t="s">
        <v>2249</v>
      </c>
      <c r="I40" s="693" t="s">
        <v>2248</v>
      </c>
      <c r="J40" s="847">
        <v>-154410167</v>
      </c>
      <c r="K40" s="847">
        <v>-98261906</v>
      </c>
      <c r="L40" s="841">
        <v>3394167424</v>
      </c>
      <c r="M40" s="847">
        <v>594925431</v>
      </c>
      <c r="N40" s="839">
        <f>Indicadores[[#This Row],[Ventas]]/Indicadores[[#This Row],[Activos totales]]</f>
        <v>0.17527875224813896</v>
      </c>
      <c r="O40" s="837">
        <f>IF(Indicadores[[#This Row],[Ventas]]=0,0,Indicadores[[#This Row],[EBITDA]]/Indicadores[[#This Row],[Ventas]])</f>
        <v>-0.16516676020191848</v>
      </c>
      <c r="P40" s="837">
        <f>IF(Indicadores[[#This Row],[Ventas]]=0,0,Indicadores[[#This Row],[UAI]]/Indicadores[[#This Row],[Ventas]])</f>
        <v>-0.25954541351586635</v>
      </c>
      <c r="Q40" s="837">
        <f>IFERROR(Indicadores[[#This Row],[Ventas]]/Indicadores[[#This Row],[Activos totales]],0)</f>
        <v>0.17527875224813896</v>
      </c>
    </row>
    <row r="41" spans="1:17" hidden="1" x14ac:dyDescent="0.35">
      <c r="A41" s="13" t="str">
        <f>MID(Indicadores[[#This Row],[CIIU]],2,4)</f>
        <v>0729</v>
      </c>
      <c r="B41" s="13" t="str">
        <f>Indicadores[[#This Row],[CIIU]]&amp;Indicadores[[#This Row],[Año]]</f>
        <v>B07292016</v>
      </c>
      <c r="C41" s="14" t="s">
        <v>2228</v>
      </c>
      <c r="D41" s="14" t="s">
        <v>2243</v>
      </c>
      <c r="E41" s="848">
        <v>2016</v>
      </c>
      <c r="F41" s="856" t="s">
        <v>2250</v>
      </c>
      <c r="G41" s="858" t="s">
        <v>2251</v>
      </c>
      <c r="H41" s="848" t="s">
        <v>2252</v>
      </c>
      <c r="I41" s="693" t="s">
        <v>2251</v>
      </c>
      <c r="J41" s="847">
        <v>100374513</v>
      </c>
      <c r="K41" s="847">
        <v>121191933</v>
      </c>
      <c r="L41" s="841">
        <v>573907289</v>
      </c>
      <c r="M41" s="847">
        <v>573162855</v>
      </c>
      <c r="N41" s="839">
        <f>Indicadores[[#This Row],[Ventas]]/Indicadores[[#This Row],[Activos totales]]</f>
        <v>0.99870286714549816</v>
      </c>
      <c r="O41" s="837">
        <f>IF(Indicadores[[#This Row],[Ventas]]=0,0,Indicadores[[#This Row],[EBITDA]]/Indicadores[[#This Row],[Ventas]])</f>
        <v>0.21144415054600843</v>
      </c>
      <c r="P41" s="837">
        <f>IF(Indicadores[[#This Row],[Ventas]]=0,0,Indicadores[[#This Row],[UAI]]/Indicadores[[#This Row],[Ventas]])</f>
        <v>0.17512389737817186</v>
      </c>
      <c r="Q41" s="837">
        <f>IFERROR(Indicadores[[#This Row],[Ventas]]/Indicadores[[#This Row],[Activos totales]],0)</f>
        <v>0.99870286714549816</v>
      </c>
    </row>
    <row r="42" spans="1:17" hidden="1" x14ac:dyDescent="0.35">
      <c r="A42" s="13" t="str">
        <f>MID(Indicadores[[#This Row],[CIIU]],2,4)</f>
        <v>0811</v>
      </c>
      <c r="B42" s="13" t="str">
        <f>Indicadores[[#This Row],[CIIU]]&amp;Indicadores[[#This Row],[Año]]</f>
        <v>B08112016</v>
      </c>
      <c r="C42" s="14" t="s">
        <v>2228</v>
      </c>
      <c r="D42" s="14" t="s">
        <v>2253</v>
      </c>
      <c r="E42" s="848">
        <v>2016</v>
      </c>
      <c r="F42" s="856" t="s">
        <v>2254</v>
      </c>
      <c r="G42" s="858" t="s">
        <v>2255</v>
      </c>
      <c r="H42" s="848" t="s">
        <v>2256</v>
      </c>
      <c r="I42" s="693" t="s">
        <v>2255</v>
      </c>
      <c r="J42" s="847">
        <v>49705014</v>
      </c>
      <c r="K42" s="847">
        <v>67252685</v>
      </c>
      <c r="L42" s="841">
        <v>959404700</v>
      </c>
      <c r="M42" s="847">
        <v>394308389</v>
      </c>
      <c r="N42" s="839">
        <f>Indicadores[[#This Row],[Ventas]]/Indicadores[[#This Row],[Activos totales]]</f>
        <v>0.41099276353347031</v>
      </c>
      <c r="O42" s="837">
        <f>IF(Indicadores[[#This Row],[Ventas]]=0,0,Indicadores[[#This Row],[EBITDA]]/Indicadores[[#This Row],[Ventas]])</f>
        <v>0.17055859544494753</v>
      </c>
      <c r="P42" s="837">
        <f>IF(Indicadores[[#This Row],[Ventas]]=0,0,Indicadores[[#This Row],[UAI]]/Indicadores[[#This Row],[Ventas]])</f>
        <v>0.12605619202283824</v>
      </c>
      <c r="Q42" s="837">
        <f>IFERROR(Indicadores[[#This Row],[Ventas]]/Indicadores[[#This Row],[Activos totales]],0)</f>
        <v>0.41099276353347031</v>
      </c>
    </row>
    <row r="43" spans="1:17" hidden="1" x14ac:dyDescent="0.35">
      <c r="A43" s="13" t="str">
        <f>MID(Indicadores[[#This Row],[CIIU]],2,4)</f>
        <v>0812</v>
      </c>
      <c r="B43" s="13" t="str">
        <f>Indicadores[[#This Row],[CIIU]]&amp;Indicadores[[#This Row],[Año]]</f>
        <v>B08122016</v>
      </c>
      <c r="C43" s="14" t="s">
        <v>2228</v>
      </c>
      <c r="D43" s="14" t="s">
        <v>2253</v>
      </c>
      <c r="E43" s="848">
        <v>2016</v>
      </c>
      <c r="F43" s="856" t="s">
        <v>2257</v>
      </c>
      <c r="G43" s="858" t="s">
        <v>2258</v>
      </c>
      <c r="H43" s="848" t="s">
        <v>2259</v>
      </c>
      <c r="I43" s="693" t="s">
        <v>2258</v>
      </c>
      <c r="J43" s="847">
        <v>1265761</v>
      </c>
      <c r="K43" s="847">
        <v>3702658</v>
      </c>
      <c r="L43" s="841">
        <v>177016291</v>
      </c>
      <c r="M43" s="847">
        <v>37521044</v>
      </c>
      <c r="N43" s="839">
        <f>Indicadores[[#This Row],[Ventas]]/Indicadores[[#This Row],[Activos totales]]</f>
        <v>0.21196379038356419</v>
      </c>
      <c r="O43" s="837">
        <f>IF(Indicadores[[#This Row],[Ventas]]=0,0,Indicadores[[#This Row],[EBITDA]]/Indicadores[[#This Row],[Ventas]])</f>
        <v>9.8682168865024122E-2</v>
      </c>
      <c r="P43" s="837">
        <f>IF(Indicadores[[#This Row],[Ventas]]=0,0,Indicadores[[#This Row],[UAI]]/Indicadores[[#This Row],[Ventas]])</f>
        <v>3.3734695655056934E-2</v>
      </c>
      <c r="Q43" s="837">
        <f>IFERROR(Indicadores[[#This Row],[Ventas]]/Indicadores[[#This Row],[Activos totales]],0)</f>
        <v>0.21196379038356419</v>
      </c>
    </row>
    <row r="44" spans="1:17" hidden="1" x14ac:dyDescent="0.35">
      <c r="A44" s="13" t="str">
        <f>MID(Indicadores[[#This Row],[CIIU]],2,4)</f>
        <v>0820</v>
      </c>
      <c r="B44" s="13" t="str">
        <f>Indicadores[[#This Row],[CIIU]]&amp;Indicadores[[#This Row],[Año]]</f>
        <v>B08202016</v>
      </c>
      <c r="C44" s="14" t="s">
        <v>2228</v>
      </c>
      <c r="D44" s="14" t="s">
        <v>2253</v>
      </c>
      <c r="E44" s="848">
        <v>2016</v>
      </c>
      <c r="F44" s="856" t="s">
        <v>2260</v>
      </c>
      <c r="G44" s="858" t="s">
        <v>2261</v>
      </c>
      <c r="H44" s="848" t="s">
        <v>2262</v>
      </c>
      <c r="I44" s="693" t="s">
        <v>2261</v>
      </c>
      <c r="J44" s="847">
        <v>-93319564</v>
      </c>
      <c r="K44" s="847">
        <v>-88565802</v>
      </c>
      <c r="L44" s="841">
        <v>245123509</v>
      </c>
      <c r="M44" s="847">
        <v>146118432</v>
      </c>
      <c r="N44" s="839">
        <f>Indicadores[[#This Row],[Ventas]]/Indicadores[[#This Row],[Activos totales]]</f>
        <v>0.59610125767251476</v>
      </c>
      <c r="O44" s="837">
        <f>IF(Indicadores[[#This Row],[Ventas]]=0,0,Indicadores[[#This Row],[EBITDA]]/Indicadores[[#This Row],[Ventas]])</f>
        <v>-0.60612340816797161</v>
      </c>
      <c r="P44" s="837">
        <f>IF(Indicadores[[#This Row],[Ventas]]=0,0,Indicadores[[#This Row],[UAI]]/Indicadores[[#This Row],[Ventas]])</f>
        <v>-0.63865703130457896</v>
      </c>
      <c r="Q44" s="837">
        <f>IFERROR(Indicadores[[#This Row],[Ventas]]/Indicadores[[#This Row],[Activos totales]],0)</f>
        <v>0.59610125767251476</v>
      </c>
    </row>
    <row r="45" spans="1:17" hidden="1" x14ac:dyDescent="0.35">
      <c r="A45" s="13" t="str">
        <f>MID(Indicadores[[#This Row],[CIIU]],2,4)</f>
        <v>0891</v>
      </c>
      <c r="B45" s="13" t="str">
        <f>Indicadores[[#This Row],[CIIU]]&amp;Indicadores[[#This Row],[Año]]</f>
        <v>B08912016</v>
      </c>
      <c r="C45" s="14" t="s">
        <v>2228</v>
      </c>
      <c r="D45" s="14" t="s">
        <v>2253</v>
      </c>
      <c r="E45" s="848">
        <v>2016</v>
      </c>
      <c r="F45" s="856" t="s">
        <v>2263</v>
      </c>
      <c r="G45" s="858" t="s">
        <v>2264</v>
      </c>
      <c r="H45" s="848" t="s">
        <v>2265</v>
      </c>
      <c r="I45" s="693" t="s">
        <v>2264</v>
      </c>
      <c r="J45" s="847">
        <v>521917</v>
      </c>
      <c r="K45" s="847">
        <v>858246</v>
      </c>
      <c r="L45" s="841">
        <v>15705532</v>
      </c>
      <c r="M45" s="847">
        <v>7932055</v>
      </c>
      <c r="N45" s="839">
        <f>Indicadores[[#This Row],[Ventas]]/Indicadores[[#This Row],[Activos totales]]</f>
        <v>0.50504847591281854</v>
      </c>
      <c r="O45" s="837">
        <f>IF(Indicadores[[#This Row],[Ventas]]=0,0,Indicadores[[#This Row],[EBITDA]]/Indicadores[[#This Row],[Ventas]])</f>
        <v>0.10819970360770317</v>
      </c>
      <c r="P45" s="837">
        <f>IF(Indicadores[[#This Row],[Ventas]]=0,0,Indicadores[[#This Row],[UAI]]/Indicadores[[#This Row],[Ventas]])</f>
        <v>6.5798459541695054E-2</v>
      </c>
      <c r="Q45" s="837">
        <f>IFERROR(Indicadores[[#This Row],[Ventas]]/Indicadores[[#This Row],[Activos totales]],0)</f>
        <v>0.50504847591281854</v>
      </c>
    </row>
    <row r="46" spans="1:17" hidden="1" x14ac:dyDescent="0.35">
      <c r="A46" s="13" t="str">
        <f>MID(Indicadores[[#This Row],[CIIU]],2,4)</f>
        <v>0892</v>
      </c>
      <c r="B46" s="13" t="str">
        <f>Indicadores[[#This Row],[CIIU]]&amp;Indicadores[[#This Row],[Año]]</f>
        <v>B08922016</v>
      </c>
      <c r="C46" s="14" t="s">
        <v>2228</v>
      </c>
      <c r="D46" s="14" t="s">
        <v>2253</v>
      </c>
      <c r="E46" s="848">
        <v>2016</v>
      </c>
      <c r="F46" s="856" t="s">
        <v>2266</v>
      </c>
      <c r="G46" s="858" t="s">
        <v>2267</v>
      </c>
      <c r="H46" s="848" t="s">
        <v>2268</v>
      </c>
      <c r="I46" s="693" t="s">
        <v>2267</v>
      </c>
      <c r="J46" s="847">
        <v>-1111193</v>
      </c>
      <c r="K46" s="847">
        <v>-219936</v>
      </c>
      <c r="L46" s="841">
        <v>80907583</v>
      </c>
      <c r="M46" s="847">
        <v>4452016</v>
      </c>
      <c r="N46" s="839">
        <f>Indicadores[[#This Row],[Ventas]]/Indicadores[[#This Row],[Activos totales]]</f>
        <v>5.5025942376748543E-2</v>
      </c>
      <c r="O46" s="837">
        <f>IF(Indicadores[[#This Row],[Ventas]]=0,0,Indicadores[[#This Row],[EBITDA]]/Indicadores[[#This Row],[Ventas]])</f>
        <v>-4.9401439707314622E-2</v>
      </c>
      <c r="P46" s="837">
        <f>IF(Indicadores[[#This Row],[Ventas]]=0,0,Indicadores[[#This Row],[UAI]]/Indicadores[[#This Row],[Ventas]])</f>
        <v>-0.24959321799382572</v>
      </c>
      <c r="Q46" s="837">
        <f>IFERROR(Indicadores[[#This Row],[Ventas]]/Indicadores[[#This Row],[Activos totales]],0)</f>
        <v>5.5025942376748543E-2</v>
      </c>
    </row>
    <row r="47" spans="1:17" hidden="1" x14ac:dyDescent="0.35">
      <c r="A47" s="13" t="str">
        <f>MID(Indicadores[[#This Row],[CIIU]],2,4)</f>
        <v>0899</v>
      </c>
      <c r="B47" s="13" t="str">
        <f>Indicadores[[#This Row],[CIIU]]&amp;Indicadores[[#This Row],[Año]]</f>
        <v>B08992016</v>
      </c>
      <c r="C47" s="14" t="s">
        <v>2228</v>
      </c>
      <c r="D47" s="14" t="s">
        <v>2253</v>
      </c>
      <c r="E47" s="848">
        <v>2016</v>
      </c>
      <c r="F47" s="856" t="s">
        <v>2269</v>
      </c>
      <c r="G47" s="858" t="s">
        <v>2270</v>
      </c>
      <c r="H47" s="848" t="s">
        <v>2271</v>
      </c>
      <c r="I47" s="693" t="s">
        <v>2270</v>
      </c>
      <c r="J47" s="847">
        <v>-177919979</v>
      </c>
      <c r="K47" s="847">
        <v>-164142468</v>
      </c>
      <c r="L47" s="841">
        <v>406013397</v>
      </c>
      <c r="M47" s="847">
        <v>154832609</v>
      </c>
      <c r="N47" s="839">
        <f>Indicadores[[#This Row],[Ventas]]/Indicadores[[#This Row],[Activos totales]]</f>
        <v>0.38134852234937461</v>
      </c>
      <c r="O47" s="837">
        <f>IF(Indicadores[[#This Row],[Ventas]]=0,0,Indicadores[[#This Row],[EBITDA]]/Indicadores[[#This Row],[Ventas]])</f>
        <v>-1.0601285417854065</v>
      </c>
      <c r="P47" s="837">
        <f>IF(Indicadores[[#This Row],[Ventas]]=0,0,Indicadores[[#This Row],[UAI]]/Indicadores[[#This Row],[Ventas]])</f>
        <v>-1.1491118062862327</v>
      </c>
      <c r="Q47" s="837">
        <f>IFERROR(Indicadores[[#This Row],[Ventas]]/Indicadores[[#This Row],[Activos totales]],0)</f>
        <v>0.38134852234937461</v>
      </c>
    </row>
    <row r="48" spans="1:17" hidden="1" x14ac:dyDescent="0.35">
      <c r="A48" s="13" t="str">
        <f>MID(Indicadores[[#This Row],[CIIU]],2,4)</f>
        <v>0910</v>
      </c>
      <c r="B48" s="13" t="str">
        <f>Indicadores[[#This Row],[CIIU]]&amp;Indicadores[[#This Row],[Año]]</f>
        <v>B09102016</v>
      </c>
      <c r="C48" s="14" t="s">
        <v>2228</v>
      </c>
      <c r="D48" s="14" t="s">
        <v>2272</v>
      </c>
      <c r="E48" s="848">
        <v>2016</v>
      </c>
      <c r="F48" s="856" t="s">
        <v>2273</v>
      </c>
      <c r="G48" s="858" t="s">
        <v>2274</v>
      </c>
      <c r="H48" s="848" t="s">
        <v>2275</v>
      </c>
      <c r="I48" s="693" t="s">
        <v>2274</v>
      </c>
      <c r="J48" s="847">
        <v>-826331954</v>
      </c>
      <c r="K48" s="847">
        <v>-28863786</v>
      </c>
      <c r="L48" s="841">
        <v>9360415362</v>
      </c>
      <c r="M48" s="847">
        <v>4129482368</v>
      </c>
      <c r="N48" s="839">
        <f>Indicadores[[#This Row],[Ventas]]/Indicadores[[#This Row],[Activos totales]]</f>
        <v>0.44116443643775133</v>
      </c>
      <c r="O48" s="837">
        <f>IF(Indicadores[[#This Row],[Ventas]]=0,0,Indicadores[[#This Row],[EBITDA]]/Indicadores[[#This Row],[Ventas]])</f>
        <v>-6.98968621919056E-3</v>
      </c>
      <c r="P48" s="837">
        <f>IF(Indicadores[[#This Row],[Ventas]]=0,0,Indicadores[[#This Row],[UAI]]/Indicadores[[#This Row],[Ventas]])</f>
        <v>-0.20010545641346592</v>
      </c>
      <c r="Q48" s="837">
        <f>IFERROR(Indicadores[[#This Row],[Ventas]]/Indicadores[[#This Row],[Activos totales]],0)</f>
        <v>0.44116443643775133</v>
      </c>
    </row>
    <row r="49" spans="1:17" hidden="1" x14ac:dyDescent="0.35">
      <c r="A49" s="13" t="str">
        <f>MID(Indicadores[[#This Row],[CIIU]],2,4)</f>
        <v>0990</v>
      </c>
      <c r="B49" s="13" t="str">
        <f>Indicadores[[#This Row],[CIIU]]&amp;Indicadores[[#This Row],[Año]]</f>
        <v>B09902016</v>
      </c>
      <c r="C49" s="14" t="s">
        <v>2228</v>
      </c>
      <c r="D49" s="14" t="s">
        <v>2272</v>
      </c>
      <c r="E49" s="848">
        <v>2016</v>
      </c>
      <c r="F49" s="856" t="s">
        <v>2276</v>
      </c>
      <c r="G49" s="858" t="s">
        <v>2277</v>
      </c>
      <c r="H49" s="848" t="s">
        <v>2278</v>
      </c>
      <c r="I49" s="693" t="s">
        <v>2277</v>
      </c>
      <c r="J49" s="847">
        <v>38133140</v>
      </c>
      <c r="K49" s="847">
        <v>38351148</v>
      </c>
      <c r="L49" s="841">
        <v>414159011</v>
      </c>
      <c r="M49" s="847">
        <v>359962254</v>
      </c>
      <c r="N49" s="839">
        <f>Indicadores[[#This Row],[Ventas]]/Indicadores[[#This Row],[Activos totales]]</f>
        <v>0.86914022015568315</v>
      </c>
      <c r="O49" s="837">
        <f>IF(Indicadores[[#This Row],[Ventas]]=0,0,Indicadores[[#This Row],[EBITDA]]/Indicadores[[#This Row],[Ventas]])</f>
        <v>0.10654213760979506</v>
      </c>
      <c r="P49" s="837">
        <f>IF(Indicadores[[#This Row],[Ventas]]=0,0,Indicadores[[#This Row],[UAI]]/Indicadores[[#This Row],[Ventas]])</f>
        <v>0.10593649633052915</v>
      </c>
      <c r="Q49" s="837">
        <f>IFERROR(Indicadores[[#This Row],[Ventas]]/Indicadores[[#This Row],[Activos totales]],0)</f>
        <v>0.86914022015568315</v>
      </c>
    </row>
    <row r="50" spans="1:17" x14ac:dyDescent="0.35">
      <c r="A50" s="13" t="str">
        <f>MID(Indicadores[[#This Row],[CIIU]],2,4)</f>
        <v>1011</v>
      </c>
      <c r="B50" s="13" t="str">
        <f>Indicadores[[#This Row],[CIIU]]&amp;Indicadores[[#This Row],[Año]]</f>
        <v>C10112016</v>
      </c>
      <c r="C50" s="14" t="s">
        <v>2279</v>
      </c>
      <c r="D50" s="14" t="s">
        <v>2280</v>
      </c>
      <c r="E50" s="848">
        <v>2016</v>
      </c>
      <c r="F50" s="856" t="s">
        <v>2281</v>
      </c>
      <c r="G50" s="858" t="s">
        <v>2282</v>
      </c>
      <c r="H50" s="848" t="s">
        <v>2283</v>
      </c>
      <c r="I50" s="693" t="s">
        <v>2282</v>
      </c>
      <c r="J50" s="847">
        <v>196829424</v>
      </c>
      <c r="K50" s="847">
        <v>386586124</v>
      </c>
      <c r="L50" s="841">
        <v>4102584693</v>
      </c>
      <c r="M50" s="847">
        <v>4533229363</v>
      </c>
      <c r="N50" s="839">
        <f>Indicadores[[#This Row],[Ventas]]/Indicadores[[#This Row],[Activos totales]]</f>
        <v>1.1049691114810583</v>
      </c>
      <c r="O50" s="837">
        <f>IF(Indicadores[[#This Row],[Ventas]]=0,0,Indicadores[[#This Row],[EBITDA]]/Indicadores[[#This Row],[Ventas]])</f>
        <v>8.5278306708964996E-2</v>
      </c>
      <c r="P50" s="837">
        <f>IF(Indicadores[[#This Row],[Ventas]]=0,0,Indicadores[[#This Row],[UAI]]/Indicadores[[#This Row],[Ventas]])</f>
        <v>4.3419251098678634E-2</v>
      </c>
      <c r="Q50" s="837">
        <f>IFERROR(Indicadores[[#This Row],[Ventas]]/Indicadores[[#This Row],[Activos totales]],0)</f>
        <v>1.1049691114810583</v>
      </c>
    </row>
    <row r="51" spans="1:17" x14ac:dyDescent="0.35">
      <c r="A51" s="13" t="str">
        <f>MID(Indicadores[[#This Row],[CIIU]],2,4)</f>
        <v>1012</v>
      </c>
      <c r="B51" s="13" t="str">
        <f>Indicadores[[#This Row],[CIIU]]&amp;Indicadores[[#This Row],[Año]]</f>
        <v>C10122016</v>
      </c>
      <c r="C51" s="14" t="s">
        <v>2279</v>
      </c>
      <c r="D51" s="14" t="s">
        <v>2280</v>
      </c>
      <c r="E51" s="848">
        <v>2016</v>
      </c>
      <c r="F51" s="856" t="s">
        <v>2284</v>
      </c>
      <c r="G51" s="858" t="s">
        <v>2285</v>
      </c>
      <c r="H51" s="848" t="s">
        <v>2286</v>
      </c>
      <c r="I51" s="693" t="s">
        <v>2285</v>
      </c>
      <c r="J51" s="847">
        <v>4403361</v>
      </c>
      <c r="K51" s="847">
        <v>24312731</v>
      </c>
      <c r="L51" s="841">
        <v>435534181</v>
      </c>
      <c r="M51" s="847">
        <v>592936191</v>
      </c>
      <c r="N51" s="839">
        <f>Indicadores[[#This Row],[Ventas]]/Indicadores[[#This Row],[Activos totales]]</f>
        <v>1.3613999012398983</v>
      </c>
      <c r="O51" s="837">
        <f>IF(Indicadores[[#This Row],[Ventas]]=0,0,Indicadores[[#This Row],[EBITDA]]/Indicadores[[#This Row],[Ventas]])</f>
        <v>4.1003958552430476E-2</v>
      </c>
      <c r="P51" s="837">
        <f>IF(Indicadores[[#This Row],[Ventas]]=0,0,Indicadores[[#This Row],[UAI]]/Indicadores[[#This Row],[Ventas]])</f>
        <v>7.4263657149576823E-3</v>
      </c>
      <c r="Q51" s="837">
        <f>IFERROR(Indicadores[[#This Row],[Ventas]]/Indicadores[[#This Row],[Activos totales]],0)</f>
        <v>1.3613999012398983</v>
      </c>
    </row>
    <row r="52" spans="1:17" x14ac:dyDescent="0.35">
      <c r="A52" s="13" t="str">
        <f>MID(Indicadores[[#This Row],[CIIU]],2,4)</f>
        <v>1020</v>
      </c>
      <c r="B52" s="13" t="str">
        <f>Indicadores[[#This Row],[CIIU]]&amp;Indicadores[[#This Row],[Año]]</f>
        <v>C10202016</v>
      </c>
      <c r="C52" s="14" t="s">
        <v>2279</v>
      </c>
      <c r="D52" s="14" t="s">
        <v>2280</v>
      </c>
      <c r="E52" s="848">
        <v>2016</v>
      </c>
      <c r="F52" s="856" t="s">
        <v>2287</v>
      </c>
      <c r="G52" s="858" t="s">
        <v>2288</v>
      </c>
      <c r="H52" s="848" t="s">
        <v>2289</v>
      </c>
      <c r="I52" s="693" t="s">
        <v>2288</v>
      </c>
      <c r="J52" s="847">
        <v>52502271</v>
      </c>
      <c r="K52" s="847">
        <v>79162334</v>
      </c>
      <c r="L52" s="841">
        <v>647960980</v>
      </c>
      <c r="M52" s="847">
        <v>727837976</v>
      </c>
      <c r="N52" s="839">
        <f>Indicadores[[#This Row],[Ventas]]/Indicadores[[#This Row],[Activos totales]]</f>
        <v>1.1232743922326929</v>
      </c>
      <c r="O52" s="837">
        <f>IF(Indicadores[[#This Row],[Ventas]]=0,0,Indicadores[[#This Row],[EBITDA]]/Indicadores[[#This Row],[Ventas]])</f>
        <v>0.10876367627181904</v>
      </c>
      <c r="P52" s="837">
        <f>IF(Indicadores[[#This Row],[Ventas]]=0,0,Indicadores[[#This Row],[UAI]]/Indicadores[[#This Row],[Ventas]])</f>
        <v>7.2134558419908554E-2</v>
      </c>
      <c r="Q52" s="837">
        <f>IFERROR(Indicadores[[#This Row],[Ventas]]/Indicadores[[#This Row],[Activos totales]],0)</f>
        <v>1.1232743922326929</v>
      </c>
    </row>
    <row r="53" spans="1:17" x14ac:dyDescent="0.35">
      <c r="A53" s="13" t="str">
        <f>MID(Indicadores[[#This Row],[CIIU]],2,4)</f>
        <v>1030</v>
      </c>
      <c r="B53" s="13" t="str">
        <f>Indicadores[[#This Row],[CIIU]]&amp;Indicadores[[#This Row],[Año]]</f>
        <v>C10302016</v>
      </c>
      <c r="C53" s="14" t="s">
        <v>2279</v>
      </c>
      <c r="D53" s="14" t="s">
        <v>2280</v>
      </c>
      <c r="E53" s="848">
        <v>2016</v>
      </c>
      <c r="F53" s="856" t="s">
        <v>2290</v>
      </c>
      <c r="G53" s="858" t="s">
        <v>2291</v>
      </c>
      <c r="H53" s="848" t="s">
        <v>2292</v>
      </c>
      <c r="I53" s="693" t="s">
        <v>2291</v>
      </c>
      <c r="J53" s="847">
        <v>136220806</v>
      </c>
      <c r="K53" s="847">
        <v>482474000</v>
      </c>
      <c r="L53" s="841">
        <v>6315505222</v>
      </c>
      <c r="M53" s="847">
        <v>6198412857</v>
      </c>
      <c r="N53" s="839">
        <f>Indicadores[[#This Row],[Ventas]]/Indicadores[[#This Row],[Activos totales]]</f>
        <v>0.98145954110019418</v>
      </c>
      <c r="O53" s="837">
        <f>IF(Indicadores[[#This Row],[Ventas]]=0,0,Indicadores[[#This Row],[EBITDA]]/Indicadores[[#This Row],[Ventas]])</f>
        <v>7.7838312989289157E-2</v>
      </c>
      <c r="P53" s="837">
        <f>IF(Indicadores[[#This Row],[Ventas]]=0,0,Indicadores[[#This Row],[UAI]]/Indicadores[[#This Row],[Ventas]])</f>
        <v>2.197672358112818E-2</v>
      </c>
      <c r="Q53" s="837">
        <f>IFERROR(Indicadores[[#This Row],[Ventas]]/Indicadores[[#This Row],[Activos totales]],0)</f>
        <v>0.98145954110019418</v>
      </c>
    </row>
    <row r="54" spans="1:17" x14ac:dyDescent="0.35">
      <c r="A54" s="13" t="str">
        <f>MID(Indicadores[[#This Row],[CIIU]],2,4)</f>
        <v>1040</v>
      </c>
      <c r="B54" s="13" t="str">
        <f>Indicadores[[#This Row],[CIIU]]&amp;Indicadores[[#This Row],[Año]]</f>
        <v>C10402016</v>
      </c>
      <c r="C54" s="14" t="s">
        <v>2279</v>
      </c>
      <c r="D54" s="14" t="s">
        <v>2280</v>
      </c>
      <c r="E54" s="848">
        <v>2016</v>
      </c>
      <c r="F54" s="856" t="s">
        <v>2293</v>
      </c>
      <c r="G54" s="858" t="s">
        <v>2294</v>
      </c>
      <c r="H54" s="848" t="s">
        <v>2295</v>
      </c>
      <c r="I54" s="693" t="s">
        <v>2294</v>
      </c>
      <c r="J54" s="847">
        <v>166604284</v>
      </c>
      <c r="K54" s="847">
        <v>262118429</v>
      </c>
      <c r="L54" s="841">
        <v>3488430220</v>
      </c>
      <c r="M54" s="847">
        <v>4202242720</v>
      </c>
      <c r="N54" s="839">
        <f>Indicadores[[#This Row],[Ventas]]/Indicadores[[#This Row],[Activos totales]]</f>
        <v>1.2046228403559696</v>
      </c>
      <c r="O54" s="837">
        <f>IF(Indicadores[[#This Row],[Ventas]]=0,0,Indicadores[[#This Row],[EBITDA]]/Indicadores[[#This Row],[Ventas]])</f>
        <v>6.2375842250254408E-2</v>
      </c>
      <c r="P54" s="837">
        <f>IF(Indicadores[[#This Row],[Ventas]]=0,0,Indicadores[[#This Row],[UAI]]/Indicadores[[#This Row],[Ventas]])</f>
        <v>3.9646516182197111E-2</v>
      </c>
      <c r="Q54" s="837">
        <f>IFERROR(Indicadores[[#This Row],[Ventas]]/Indicadores[[#This Row],[Activos totales]],0)</f>
        <v>1.2046228403559696</v>
      </c>
    </row>
    <row r="55" spans="1:17" x14ac:dyDescent="0.35">
      <c r="A55" s="13" t="str">
        <f>MID(Indicadores[[#This Row],[CIIU]],2,4)</f>
        <v>1051</v>
      </c>
      <c r="B55" s="13" t="str">
        <f>Indicadores[[#This Row],[CIIU]]&amp;Indicadores[[#This Row],[Año]]</f>
        <v>C10512016</v>
      </c>
      <c r="C55" s="14" t="s">
        <v>2279</v>
      </c>
      <c r="D55" s="14" t="s">
        <v>2280</v>
      </c>
      <c r="E55" s="848">
        <v>2016</v>
      </c>
      <c r="F55" s="856" t="s">
        <v>2296</v>
      </c>
      <c r="G55" s="858" t="s">
        <v>2297</v>
      </c>
      <c r="H55" s="848" t="s">
        <v>2298</v>
      </c>
      <c r="I55" s="693" t="s">
        <v>2297</v>
      </c>
      <c r="J55" s="847">
        <v>303406793</v>
      </c>
      <c r="K55" s="847">
        <v>520726470</v>
      </c>
      <c r="L55" s="841">
        <v>6172253536</v>
      </c>
      <c r="M55" s="847">
        <v>7570376544</v>
      </c>
      <c r="N55" s="839">
        <f>Indicadores[[#This Row],[Ventas]]/Indicadores[[#This Row],[Activos totales]]</f>
        <v>1.2265174299541282</v>
      </c>
      <c r="O55" s="837">
        <f>IF(Indicadores[[#This Row],[Ventas]]=0,0,Indicadores[[#This Row],[EBITDA]]/Indicadores[[#This Row],[Ventas]])</f>
        <v>6.8784751587119997E-2</v>
      </c>
      <c r="P55" s="837">
        <f>IF(Indicadores[[#This Row],[Ventas]]=0,0,Indicadores[[#This Row],[UAI]]/Indicadores[[#This Row],[Ventas]])</f>
        <v>4.0078164043302306E-2</v>
      </c>
      <c r="Q55" s="837">
        <f>IFERROR(Indicadores[[#This Row],[Ventas]]/Indicadores[[#This Row],[Activos totales]],0)</f>
        <v>1.2265174299541282</v>
      </c>
    </row>
    <row r="56" spans="1:17" x14ac:dyDescent="0.35">
      <c r="A56" s="13" t="str">
        <f>MID(Indicadores[[#This Row],[CIIU]],2,4)</f>
        <v>1052</v>
      </c>
      <c r="B56" s="13" t="str">
        <f>Indicadores[[#This Row],[CIIU]]&amp;Indicadores[[#This Row],[Año]]</f>
        <v>C10522016</v>
      </c>
      <c r="C56" s="14" t="s">
        <v>2279</v>
      </c>
      <c r="D56" s="14" t="s">
        <v>2280</v>
      </c>
      <c r="E56" s="848">
        <v>2016</v>
      </c>
      <c r="F56" s="856" t="s">
        <v>2299</v>
      </c>
      <c r="G56" s="858" t="s">
        <v>2300</v>
      </c>
      <c r="H56" s="848" t="s">
        <v>2301</v>
      </c>
      <c r="I56" s="693" t="s">
        <v>2300</v>
      </c>
      <c r="J56" s="847">
        <v>95284133</v>
      </c>
      <c r="K56" s="847">
        <v>121309572</v>
      </c>
      <c r="L56" s="841">
        <v>495599556</v>
      </c>
      <c r="M56" s="847">
        <v>734970078</v>
      </c>
      <c r="N56" s="839">
        <f>Indicadores[[#This Row],[Ventas]]/Indicadores[[#This Row],[Activos totales]]</f>
        <v>1.4829918007432596</v>
      </c>
      <c r="O56" s="837">
        <f>IF(Indicadores[[#This Row],[Ventas]]=0,0,Indicadores[[#This Row],[EBITDA]]/Indicadores[[#This Row],[Ventas]])</f>
        <v>0.16505375610678943</v>
      </c>
      <c r="P56" s="837">
        <f>IF(Indicadores[[#This Row],[Ventas]]=0,0,Indicadores[[#This Row],[UAI]]/Indicadores[[#This Row],[Ventas]])</f>
        <v>0.12964355400601765</v>
      </c>
      <c r="Q56" s="837">
        <f>IFERROR(Indicadores[[#This Row],[Ventas]]/Indicadores[[#This Row],[Activos totales]],0)</f>
        <v>1.4829918007432596</v>
      </c>
    </row>
    <row r="57" spans="1:17" x14ac:dyDescent="0.35">
      <c r="A57" s="13" t="str">
        <f>MID(Indicadores[[#This Row],[CIIU]],2,4)</f>
        <v>1061</v>
      </c>
      <c r="B57" s="13" t="str">
        <f>Indicadores[[#This Row],[CIIU]]&amp;Indicadores[[#This Row],[Año]]</f>
        <v>C10612016</v>
      </c>
      <c r="C57" s="14" t="s">
        <v>2279</v>
      </c>
      <c r="D57" s="14" t="s">
        <v>2280</v>
      </c>
      <c r="E57" s="848">
        <v>2016</v>
      </c>
      <c r="F57" s="856" t="s">
        <v>2302</v>
      </c>
      <c r="G57" s="858" t="s">
        <v>2303</v>
      </c>
      <c r="H57" s="848" t="s">
        <v>2304</v>
      </c>
      <c r="I57" s="693" t="s">
        <v>2303</v>
      </c>
      <c r="J57" s="847">
        <v>25222958</v>
      </c>
      <c r="K57" s="847">
        <v>59466243</v>
      </c>
      <c r="L57" s="841">
        <v>1260498605</v>
      </c>
      <c r="M57" s="847">
        <v>3022495337</v>
      </c>
      <c r="N57" s="839">
        <f>Indicadores[[#This Row],[Ventas]]/Indicadores[[#This Row],[Activos totales]]</f>
        <v>2.3978569472514408</v>
      </c>
      <c r="O57" s="837">
        <f>IF(Indicadores[[#This Row],[Ventas]]=0,0,Indicadores[[#This Row],[EBITDA]]/Indicadores[[#This Row],[Ventas]])</f>
        <v>1.967455243753119E-2</v>
      </c>
      <c r="P57" s="837">
        <f>IF(Indicadores[[#This Row],[Ventas]]=0,0,Indicadores[[#This Row],[UAI]]/Indicadores[[#This Row],[Ventas]])</f>
        <v>8.3450775560286669E-3</v>
      </c>
      <c r="Q57" s="837">
        <f>IFERROR(Indicadores[[#This Row],[Ventas]]/Indicadores[[#This Row],[Activos totales]],0)</f>
        <v>2.3978569472514408</v>
      </c>
    </row>
    <row r="58" spans="1:17" x14ac:dyDescent="0.35">
      <c r="A58" s="13" t="str">
        <f>MID(Indicadores[[#This Row],[CIIU]],2,4)</f>
        <v>1062</v>
      </c>
      <c r="B58" s="13" t="str">
        <f>Indicadores[[#This Row],[CIIU]]&amp;Indicadores[[#This Row],[Año]]</f>
        <v>C10622016</v>
      </c>
      <c r="C58" s="14" t="s">
        <v>2279</v>
      </c>
      <c r="D58" s="14" t="s">
        <v>2280</v>
      </c>
      <c r="E58" s="848">
        <v>2016</v>
      </c>
      <c r="F58" s="856" t="s">
        <v>2305</v>
      </c>
      <c r="G58" s="858" t="s">
        <v>2306</v>
      </c>
      <c r="H58" s="848" t="s">
        <v>2307</v>
      </c>
      <c r="I58" s="693" t="s">
        <v>2306</v>
      </c>
      <c r="J58" s="847">
        <v>98993678</v>
      </c>
      <c r="K58" s="847">
        <v>177049933</v>
      </c>
      <c r="L58" s="841">
        <v>1862420212</v>
      </c>
      <c r="M58" s="847">
        <v>1181113090</v>
      </c>
      <c r="N58" s="839">
        <f>Indicadores[[#This Row],[Ventas]]/Indicadores[[#This Row],[Activos totales]]</f>
        <v>0.63418184703420732</v>
      </c>
      <c r="O58" s="837">
        <f>IF(Indicadores[[#This Row],[Ventas]]=0,0,Indicadores[[#This Row],[EBITDA]]/Indicadores[[#This Row],[Ventas]])</f>
        <v>0.14990091507664183</v>
      </c>
      <c r="P58" s="837">
        <f>IF(Indicadores[[#This Row],[Ventas]]=0,0,Indicadores[[#This Row],[UAI]]/Indicadores[[#This Row],[Ventas]])</f>
        <v>8.3813886102981044E-2</v>
      </c>
      <c r="Q58" s="837">
        <f>IFERROR(Indicadores[[#This Row],[Ventas]]/Indicadores[[#This Row],[Activos totales]],0)</f>
        <v>0.63418184703420732</v>
      </c>
    </row>
    <row r="59" spans="1:17" x14ac:dyDescent="0.35">
      <c r="A59" s="13" t="str">
        <f>MID(Indicadores[[#This Row],[CIIU]],2,4)</f>
        <v>1063</v>
      </c>
      <c r="B59" s="13" t="str">
        <f>Indicadores[[#This Row],[CIIU]]&amp;Indicadores[[#This Row],[Año]]</f>
        <v>C10632016</v>
      </c>
      <c r="C59" s="14" t="s">
        <v>2279</v>
      </c>
      <c r="D59" s="14" t="s">
        <v>2280</v>
      </c>
      <c r="E59" s="848">
        <v>2016</v>
      </c>
      <c r="F59" s="856" t="s">
        <v>2308</v>
      </c>
      <c r="G59" s="857" t="s">
        <v>2309</v>
      </c>
      <c r="H59" s="848" t="s">
        <v>2310</v>
      </c>
      <c r="I59" s="693" t="s">
        <v>2309</v>
      </c>
      <c r="J59" s="847">
        <v>21641500</v>
      </c>
      <c r="K59" s="847">
        <v>25502326</v>
      </c>
      <c r="L59" s="841">
        <v>166340770</v>
      </c>
      <c r="M59" s="847">
        <v>112165884</v>
      </c>
      <c r="N59" s="839">
        <f>Indicadores[[#This Row],[Ventas]]/Indicadores[[#This Row],[Activos totales]]</f>
        <v>0.67431384380389725</v>
      </c>
      <c r="O59" s="837">
        <f>IF(Indicadores[[#This Row],[Ventas]]=0,0,Indicadores[[#This Row],[EBITDA]]/Indicadores[[#This Row],[Ventas]])</f>
        <v>0.22736259092827191</v>
      </c>
      <c r="P59" s="837">
        <f>IF(Indicadores[[#This Row],[Ventas]]=0,0,Indicadores[[#This Row],[UAI]]/Indicadores[[#This Row],[Ventas]])</f>
        <v>0.19294191092899513</v>
      </c>
      <c r="Q59" s="837">
        <f>IFERROR(Indicadores[[#This Row],[Ventas]]/Indicadores[[#This Row],[Activos totales]],0)</f>
        <v>0.67431384380389725</v>
      </c>
    </row>
    <row r="60" spans="1:17" x14ac:dyDescent="0.35">
      <c r="A60" s="13" t="str">
        <f>MID(Indicadores[[#This Row],[CIIU]],2,4)</f>
        <v>1071</v>
      </c>
      <c r="B60" s="13" t="str">
        <f>Indicadores[[#This Row],[CIIU]]&amp;Indicadores[[#This Row],[Año]]</f>
        <v>C10712016</v>
      </c>
      <c r="C60" s="14" t="s">
        <v>2279</v>
      </c>
      <c r="D60" s="14" t="s">
        <v>2280</v>
      </c>
      <c r="E60" s="848">
        <v>2016</v>
      </c>
      <c r="F60" s="856" t="s">
        <v>2311</v>
      </c>
      <c r="G60" s="858" t="s">
        <v>2312</v>
      </c>
      <c r="H60" s="848" t="s">
        <v>2313</v>
      </c>
      <c r="I60" s="693" t="s">
        <v>2312</v>
      </c>
      <c r="J60" s="847">
        <v>766388332</v>
      </c>
      <c r="K60" s="847">
        <v>1076765429</v>
      </c>
      <c r="L60" s="841">
        <v>7581245678</v>
      </c>
      <c r="M60" s="847">
        <v>4164934178</v>
      </c>
      <c r="N60" s="839">
        <f>Indicadores[[#This Row],[Ventas]]/Indicadores[[#This Row],[Activos totales]]</f>
        <v>0.54937332925197413</v>
      </c>
      <c r="O60" s="837">
        <f>IF(Indicadores[[#This Row],[Ventas]]=0,0,Indicadores[[#This Row],[EBITDA]]/Indicadores[[#This Row],[Ventas]])</f>
        <v>0.25853119952955955</v>
      </c>
      <c r="P60" s="837">
        <f>IF(Indicadores[[#This Row],[Ventas]]=0,0,Indicadores[[#This Row],[UAI]]/Indicadores[[#This Row],[Ventas]])</f>
        <v>0.184009710417085</v>
      </c>
      <c r="Q60" s="837">
        <f>IFERROR(Indicadores[[#This Row],[Ventas]]/Indicadores[[#This Row],[Activos totales]],0)</f>
        <v>0.54937332925197413</v>
      </c>
    </row>
    <row r="61" spans="1:17" x14ac:dyDescent="0.35">
      <c r="A61" s="13" t="str">
        <f>MID(Indicadores[[#This Row],[CIIU]],2,4)</f>
        <v>1072</v>
      </c>
      <c r="B61" s="13" t="str">
        <f>Indicadores[[#This Row],[CIIU]]&amp;Indicadores[[#This Row],[Año]]</f>
        <v>C10722016</v>
      </c>
      <c r="C61" s="14" t="s">
        <v>2279</v>
      </c>
      <c r="D61" s="14" t="s">
        <v>2280</v>
      </c>
      <c r="E61" s="848">
        <v>2016</v>
      </c>
      <c r="F61" s="856" t="s">
        <v>2314</v>
      </c>
      <c r="G61" s="858" t="s">
        <v>2315</v>
      </c>
      <c r="H61" s="848" t="s">
        <v>2316</v>
      </c>
      <c r="I61" s="693" t="s">
        <v>2315</v>
      </c>
      <c r="J61" s="847">
        <v>6963275</v>
      </c>
      <c r="K61" s="847">
        <v>14252518</v>
      </c>
      <c r="L61" s="841">
        <v>143984610</v>
      </c>
      <c r="M61" s="847">
        <v>114771229</v>
      </c>
      <c r="N61" s="839">
        <f>Indicadores[[#This Row],[Ventas]]/Indicadores[[#This Row],[Activos totales]]</f>
        <v>0.79710761448740941</v>
      </c>
      <c r="O61" s="837">
        <f>IF(Indicadores[[#This Row],[Ventas]]=0,0,Indicadores[[#This Row],[EBITDA]]/Indicadores[[#This Row],[Ventas]])</f>
        <v>0.1241819759549669</v>
      </c>
      <c r="P61" s="837">
        <f>IF(Indicadores[[#This Row],[Ventas]]=0,0,Indicadores[[#This Row],[UAI]]/Indicadores[[#This Row],[Ventas]])</f>
        <v>6.0670910825569357E-2</v>
      </c>
      <c r="Q61" s="837">
        <f>IFERROR(Indicadores[[#This Row],[Ventas]]/Indicadores[[#This Row],[Activos totales]],0)</f>
        <v>0.79710761448740941</v>
      </c>
    </row>
    <row r="62" spans="1:17" x14ac:dyDescent="0.35">
      <c r="A62" s="13" t="str">
        <f>MID(Indicadores[[#This Row],[CIIU]],2,4)</f>
        <v>1081</v>
      </c>
      <c r="B62" s="13" t="str">
        <f>Indicadores[[#This Row],[CIIU]]&amp;Indicadores[[#This Row],[Año]]</f>
        <v>C10812016</v>
      </c>
      <c r="C62" s="14" t="s">
        <v>2279</v>
      </c>
      <c r="D62" s="14" t="s">
        <v>2280</v>
      </c>
      <c r="E62" s="848">
        <v>2016</v>
      </c>
      <c r="F62" s="856" t="s">
        <v>2317</v>
      </c>
      <c r="G62" s="858" t="s">
        <v>2318</v>
      </c>
      <c r="H62" s="848" t="s">
        <v>2319</v>
      </c>
      <c r="I62" s="693" t="s">
        <v>2318</v>
      </c>
      <c r="J62" s="847">
        <v>114625212</v>
      </c>
      <c r="K62" s="847">
        <v>204050444</v>
      </c>
      <c r="L62" s="841">
        <v>1730735131</v>
      </c>
      <c r="M62" s="847">
        <v>2323355219</v>
      </c>
      <c r="N62" s="839">
        <f>Indicadores[[#This Row],[Ventas]]/Indicadores[[#This Row],[Activos totales]]</f>
        <v>1.3424094636928012</v>
      </c>
      <c r="O62" s="837">
        <f>IF(Indicadores[[#This Row],[Ventas]]=0,0,Indicadores[[#This Row],[EBITDA]]/Indicadores[[#This Row],[Ventas]])</f>
        <v>8.7825762643314514E-2</v>
      </c>
      <c r="P62" s="837">
        <f>IF(Indicadores[[#This Row],[Ventas]]=0,0,Indicadores[[#This Row],[UAI]]/Indicadores[[#This Row],[Ventas]])</f>
        <v>4.9336068399104323E-2</v>
      </c>
      <c r="Q62" s="837">
        <f>IFERROR(Indicadores[[#This Row],[Ventas]]/Indicadores[[#This Row],[Activos totales]],0)</f>
        <v>1.3424094636928012</v>
      </c>
    </row>
    <row r="63" spans="1:17" x14ac:dyDescent="0.35">
      <c r="A63" s="13" t="str">
        <f>MID(Indicadores[[#This Row],[CIIU]],2,4)</f>
        <v>1082</v>
      </c>
      <c r="B63" s="13" t="str">
        <f>Indicadores[[#This Row],[CIIU]]&amp;Indicadores[[#This Row],[Año]]</f>
        <v>C10822016</v>
      </c>
      <c r="C63" s="14" t="s">
        <v>2279</v>
      </c>
      <c r="D63" s="14" t="s">
        <v>2280</v>
      </c>
      <c r="E63" s="848">
        <v>2016</v>
      </c>
      <c r="F63" s="856" t="s">
        <v>2320</v>
      </c>
      <c r="G63" s="858" t="s">
        <v>2321</v>
      </c>
      <c r="H63" s="848" t="s">
        <v>2322</v>
      </c>
      <c r="I63" s="693" t="s">
        <v>2321</v>
      </c>
      <c r="J63" s="847">
        <v>96159879</v>
      </c>
      <c r="K63" s="847">
        <v>145284292</v>
      </c>
      <c r="L63" s="841">
        <v>2331565482</v>
      </c>
      <c r="M63" s="847">
        <v>1645306539</v>
      </c>
      <c r="N63" s="839">
        <f>Indicadores[[#This Row],[Ventas]]/Indicadores[[#This Row],[Activos totales]]</f>
        <v>0.70566602212204133</v>
      </c>
      <c r="O63" s="837">
        <f>IF(Indicadores[[#This Row],[Ventas]]=0,0,Indicadores[[#This Row],[EBITDA]]/Indicadores[[#This Row],[Ventas]])</f>
        <v>8.8302263776513193E-2</v>
      </c>
      <c r="P63" s="837">
        <f>IF(Indicadores[[#This Row],[Ventas]]=0,0,Indicadores[[#This Row],[UAI]]/Indicadores[[#This Row],[Ventas]])</f>
        <v>5.8444962516495537E-2</v>
      </c>
      <c r="Q63" s="837">
        <f>IFERROR(Indicadores[[#This Row],[Ventas]]/Indicadores[[#This Row],[Activos totales]],0)</f>
        <v>0.70566602212204133</v>
      </c>
    </row>
    <row r="64" spans="1:17" x14ac:dyDescent="0.35">
      <c r="A64" s="13" t="str">
        <f>MID(Indicadores[[#This Row],[CIIU]],2,4)</f>
        <v>1083</v>
      </c>
      <c r="B64" s="13" t="str">
        <f>Indicadores[[#This Row],[CIIU]]&amp;Indicadores[[#This Row],[Año]]</f>
        <v>C10832016</v>
      </c>
      <c r="C64" s="14" t="s">
        <v>2279</v>
      </c>
      <c r="D64" s="14" t="s">
        <v>2280</v>
      </c>
      <c r="E64" s="848">
        <v>2016</v>
      </c>
      <c r="F64" s="856" t="s">
        <v>2323</v>
      </c>
      <c r="G64" s="858" t="s">
        <v>2324</v>
      </c>
      <c r="H64" s="848" t="s">
        <v>2325</v>
      </c>
      <c r="I64" s="693" t="s">
        <v>2324</v>
      </c>
      <c r="J64" s="847">
        <v>12843738</v>
      </c>
      <c r="K64" s="847">
        <v>33664913</v>
      </c>
      <c r="L64" s="841">
        <v>387221079</v>
      </c>
      <c r="M64" s="847">
        <v>298218526</v>
      </c>
      <c r="N64" s="839">
        <f>Indicadores[[#This Row],[Ventas]]/Indicadores[[#This Row],[Activos totales]]</f>
        <v>0.77015054751190337</v>
      </c>
      <c r="O64" s="837">
        <f>IF(Indicadores[[#This Row],[Ventas]]=0,0,Indicadores[[#This Row],[EBITDA]]/Indicadores[[#This Row],[Ventas]])</f>
        <v>0.11288672589039622</v>
      </c>
      <c r="P64" s="837">
        <f>IF(Indicadores[[#This Row],[Ventas]]=0,0,Indicadores[[#This Row],[UAI]]/Indicadores[[#This Row],[Ventas]])</f>
        <v>4.3068209652407714E-2</v>
      </c>
      <c r="Q64" s="837">
        <f>IFERROR(Indicadores[[#This Row],[Ventas]]/Indicadores[[#This Row],[Activos totales]],0)</f>
        <v>0.77015054751190337</v>
      </c>
    </row>
    <row r="65" spans="1:17" x14ac:dyDescent="0.35">
      <c r="A65" s="13" t="str">
        <f>MID(Indicadores[[#This Row],[CIIU]],2,4)</f>
        <v>1084</v>
      </c>
      <c r="B65" s="13" t="str">
        <f>Indicadores[[#This Row],[CIIU]]&amp;Indicadores[[#This Row],[Año]]</f>
        <v>C10842016</v>
      </c>
      <c r="C65" s="14" t="s">
        <v>2279</v>
      </c>
      <c r="D65" s="14" t="s">
        <v>2280</v>
      </c>
      <c r="E65" s="848">
        <v>2016</v>
      </c>
      <c r="F65" s="856" t="s">
        <v>2326</v>
      </c>
      <c r="G65" s="858" t="s">
        <v>2327</v>
      </c>
      <c r="H65" s="848" t="s">
        <v>2328</v>
      </c>
      <c r="I65" s="693" t="s">
        <v>2327</v>
      </c>
      <c r="J65" s="847">
        <v>-941341</v>
      </c>
      <c r="K65" s="847">
        <v>3331668</v>
      </c>
      <c r="L65" s="841">
        <v>60413874</v>
      </c>
      <c r="M65" s="847">
        <v>32679589</v>
      </c>
      <c r="N65" s="839">
        <f>Indicadores[[#This Row],[Ventas]]/Indicadores[[#This Row],[Activos totales]]</f>
        <v>0.54092854565161641</v>
      </c>
      <c r="O65" s="837">
        <f>IF(Indicadores[[#This Row],[Ventas]]=0,0,Indicadores[[#This Row],[EBITDA]]/Indicadores[[#This Row],[Ventas]])</f>
        <v>0.10194950738211549</v>
      </c>
      <c r="P65" s="837">
        <f>IF(Indicadores[[#This Row],[Ventas]]=0,0,Indicadores[[#This Row],[UAI]]/Indicadores[[#This Row],[Ventas]])</f>
        <v>-2.8805166429724683E-2</v>
      </c>
      <c r="Q65" s="837">
        <f>IFERROR(Indicadores[[#This Row],[Ventas]]/Indicadores[[#This Row],[Activos totales]],0)</f>
        <v>0.54092854565161641</v>
      </c>
    </row>
    <row r="66" spans="1:17" x14ac:dyDescent="0.35">
      <c r="A66" s="13" t="str">
        <f>MID(Indicadores[[#This Row],[CIIU]],2,4)</f>
        <v>1089</v>
      </c>
      <c r="B66" s="13" t="str">
        <f>Indicadores[[#This Row],[CIIU]]&amp;Indicadores[[#This Row],[Año]]</f>
        <v>C10892016</v>
      </c>
      <c r="C66" s="14" t="s">
        <v>2279</v>
      </c>
      <c r="D66" s="14" t="s">
        <v>2280</v>
      </c>
      <c r="E66" s="848">
        <v>2016</v>
      </c>
      <c r="F66" s="856" t="s">
        <v>2329</v>
      </c>
      <c r="G66" s="858" t="s">
        <v>2330</v>
      </c>
      <c r="H66" s="848" t="s">
        <v>2331</v>
      </c>
      <c r="I66" s="693" t="s">
        <v>2330</v>
      </c>
      <c r="J66" s="847">
        <v>1018007260</v>
      </c>
      <c r="K66" s="847">
        <v>1251766793</v>
      </c>
      <c r="L66" s="841">
        <v>6852909202</v>
      </c>
      <c r="M66" s="847">
        <v>6307651944</v>
      </c>
      <c r="N66" s="839">
        <f>Indicadores[[#This Row],[Ventas]]/Indicadores[[#This Row],[Activos totales]]</f>
        <v>0.92043419197194842</v>
      </c>
      <c r="O66" s="837">
        <f>IF(Indicadores[[#This Row],[Ventas]]=0,0,Indicadores[[#This Row],[EBITDA]]/Indicadores[[#This Row],[Ventas]])</f>
        <v>0.19845210295579366</v>
      </c>
      <c r="P66" s="837">
        <f>IF(Indicadores[[#This Row],[Ventas]]=0,0,Indicadores[[#This Row],[UAI]]/Indicadores[[#This Row],[Ventas]])</f>
        <v>0.16139242764787531</v>
      </c>
      <c r="Q66" s="837">
        <f>IFERROR(Indicadores[[#This Row],[Ventas]]/Indicadores[[#This Row],[Activos totales]],0)</f>
        <v>0.92043419197194842</v>
      </c>
    </row>
    <row r="67" spans="1:17" x14ac:dyDescent="0.35">
      <c r="A67" s="13" t="str">
        <f>MID(Indicadores[[#This Row],[CIIU]],2,4)</f>
        <v>1090</v>
      </c>
      <c r="B67" s="13" t="str">
        <f>Indicadores[[#This Row],[CIIU]]&amp;Indicadores[[#This Row],[Año]]</f>
        <v>C10902016</v>
      </c>
      <c r="C67" s="14" t="s">
        <v>2279</v>
      </c>
      <c r="D67" s="14" t="s">
        <v>2280</v>
      </c>
      <c r="E67" s="848">
        <v>2016</v>
      </c>
      <c r="F67" s="856" t="s">
        <v>2332</v>
      </c>
      <c r="G67" s="858" t="s">
        <v>2333</v>
      </c>
      <c r="H67" s="848" t="s">
        <v>2334</v>
      </c>
      <c r="I67" s="693" t="s">
        <v>2333</v>
      </c>
      <c r="J67" s="847">
        <v>399098224</v>
      </c>
      <c r="K67" s="847">
        <v>519971059</v>
      </c>
      <c r="L67" s="841">
        <v>4006304714</v>
      </c>
      <c r="M67" s="847">
        <v>8467381542</v>
      </c>
      <c r="N67" s="839">
        <f>Indicadores[[#This Row],[Ventas]]/Indicadores[[#This Row],[Activos totales]]</f>
        <v>2.1135141100003709</v>
      </c>
      <c r="O67" s="837">
        <f>IF(Indicadores[[#This Row],[Ventas]]=0,0,Indicadores[[#This Row],[EBITDA]]/Indicadores[[#This Row],[Ventas]])</f>
        <v>6.1408719616664699E-2</v>
      </c>
      <c r="P67" s="837">
        <f>IF(Indicadores[[#This Row],[Ventas]]=0,0,Indicadores[[#This Row],[UAI]]/Indicadores[[#This Row],[Ventas]])</f>
        <v>4.713360582848293E-2</v>
      </c>
      <c r="Q67" s="837">
        <f>IFERROR(Indicadores[[#This Row],[Ventas]]/Indicadores[[#This Row],[Activos totales]],0)</f>
        <v>2.1135141100003709</v>
      </c>
    </row>
    <row r="68" spans="1:17" x14ac:dyDescent="0.35">
      <c r="A68" s="13" t="str">
        <f>MID(Indicadores[[#This Row],[CIIU]],2,4)</f>
        <v>1101</v>
      </c>
      <c r="B68" s="13" t="str">
        <f>Indicadores[[#This Row],[CIIU]]&amp;Indicadores[[#This Row],[Año]]</f>
        <v>C11012016</v>
      </c>
      <c r="C68" s="14" t="s">
        <v>2279</v>
      </c>
      <c r="D68" s="14" t="s">
        <v>2335</v>
      </c>
      <c r="E68" s="848">
        <v>2016</v>
      </c>
      <c r="F68" s="856" t="s">
        <v>2336</v>
      </c>
      <c r="G68" s="858" t="s">
        <v>2337</v>
      </c>
      <c r="H68" s="848" t="s">
        <v>2338</v>
      </c>
      <c r="I68" s="693" t="s">
        <v>2337</v>
      </c>
      <c r="J68" s="847">
        <v>9272750</v>
      </c>
      <c r="K68" s="847">
        <v>13909572</v>
      </c>
      <c r="L68" s="841">
        <v>75603982</v>
      </c>
      <c r="M68" s="847">
        <v>55991794</v>
      </c>
      <c r="N68" s="839">
        <f>Indicadores[[#This Row],[Ventas]]/Indicadores[[#This Row],[Activos totales]]</f>
        <v>0.74059318727418355</v>
      </c>
      <c r="O68" s="837">
        <f>IF(Indicadores[[#This Row],[Ventas]]=0,0,Indicadores[[#This Row],[EBITDA]]/Indicadores[[#This Row],[Ventas]])</f>
        <v>0.24842161692479436</v>
      </c>
      <c r="P68" s="837">
        <f>IF(Indicadores[[#This Row],[Ventas]]=0,0,Indicadores[[#This Row],[UAI]]/Indicadores[[#This Row],[Ventas]])</f>
        <v>0.16560908907473121</v>
      </c>
      <c r="Q68" s="837">
        <f>IFERROR(Indicadores[[#This Row],[Ventas]]/Indicadores[[#This Row],[Activos totales]],0)</f>
        <v>0.74059318727418355</v>
      </c>
    </row>
    <row r="69" spans="1:17" x14ac:dyDescent="0.35">
      <c r="A69" s="13" t="str">
        <f>MID(Indicadores[[#This Row],[CIIU]],2,4)</f>
        <v>1102</v>
      </c>
      <c r="B69" s="13" t="str">
        <f>Indicadores[[#This Row],[CIIU]]&amp;Indicadores[[#This Row],[Año]]</f>
        <v>C11022016</v>
      </c>
      <c r="C69" s="14" t="s">
        <v>2279</v>
      </c>
      <c r="D69" s="14" t="s">
        <v>2335</v>
      </c>
      <c r="E69" s="848">
        <v>2016</v>
      </c>
      <c r="F69" s="856" t="s">
        <v>2339</v>
      </c>
      <c r="G69" s="858" t="s">
        <v>2340</v>
      </c>
      <c r="H69" s="848" t="s">
        <v>2341</v>
      </c>
      <c r="I69" s="693" t="s">
        <v>2340</v>
      </c>
      <c r="J69" s="847">
        <v>-4280230</v>
      </c>
      <c r="K69" s="847">
        <v>-620688</v>
      </c>
      <c r="L69" s="841">
        <v>107072778</v>
      </c>
      <c r="M69" s="847">
        <v>33830246</v>
      </c>
      <c r="N69" s="839">
        <f>Indicadores[[#This Row],[Ventas]]/Indicadores[[#This Row],[Activos totales]]</f>
        <v>0.31595562039120717</v>
      </c>
      <c r="O69" s="837">
        <f>IF(Indicadores[[#This Row],[Ventas]]=0,0,Indicadores[[#This Row],[EBITDA]]/Indicadores[[#This Row],[Ventas]])</f>
        <v>-1.8347132326498601E-2</v>
      </c>
      <c r="P69" s="837">
        <f>IF(Indicadores[[#This Row],[Ventas]]=0,0,Indicadores[[#This Row],[UAI]]/Indicadores[[#This Row],[Ventas]])</f>
        <v>-0.12652080626312914</v>
      </c>
      <c r="Q69" s="837">
        <f>IFERROR(Indicadores[[#This Row],[Ventas]]/Indicadores[[#This Row],[Activos totales]],0)</f>
        <v>0.31595562039120717</v>
      </c>
    </row>
    <row r="70" spans="1:17" x14ac:dyDescent="0.35">
      <c r="A70" s="13" t="str">
        <f>MID(Indicadores[[#This Row],[CIIU]],2,4)</f>
        <v>1103</v>
      </c>
      <c r="B70" s="13" t="str">
        <f>Indicadores[[#This Row],[CIIU]]&amp;Indicadores[[#This Row],[Año]]</f>
        <v>C11032016</v>
      </c>
      <c r="C70" s="14" t="s">
        <v>2279</v>
      </c>
      <c r="D70" s="14" t="s">
        <v>2335</v>
      </c>
      <c r="E70" s="848">
        <v>2016</v>
      </c>
      <c r="F70" s="856" t="s">
        <v>2342</v>
      </c>
      <c r="G70" s="858" t="s">
        <v>2343</v>
      </c>
      <c r="H70" s="848" t="s">
        <v>2344</v>
      </c>
      <c r="I70" s="693" t="s">
        <v>2343</v>
      </c>
      <c r="J70" s="847">
        <v>854254699</v>
      </c>
      <c r="K70" s="847">
        <v>896173803</v>
      </c>
      <c r="L70" s="841">
        <v>9559788295</v>
      </c>
      <c r="M70" s="847">
        <v>1950860159</v>
      </c>
      <c r="N70" s="839">
        <f>Indicadores[[#This Row],[Ventas]]/Indicadores[[#This Row],[Activos totales]]</f>
        <v>0.20406938927929472</v>
      </c>
      <c r="O70" s="837">
        <f>IF(Indicadores[[#This Row],[Ventas]]=0,0,Indicadores[[#This Row],[EBITDA]]/Indicadores[[#This Row],[Ventas]])</f>
        <v>0.45937367620412817</v>
      </c>
      <c r="P70" s="837">
        <f>IF(Indicadores[[#This Row],[Ventas]]=0,0,Indicadores[[#This Row],[UAI]]/Indicadores[[#This Row],[Ventas]])</f>
        <v>0.43788617808356195</v>
      </c>
      <c r="Q70" s="837">
        <f>IFERROR(Indicadores[[#This Row],[Ventas]]/Indicadores[[#This Row],[Activos totales]],0)</f>
        <v>0.20406938927929472</v>
      </c>
    </row>
    <row r="71" spans="1:17" x14ac:dyDescent="0.35">
      <c r="A71" s="13" t="str">
        <f>MID(Indicadores[[#This Row],[CIIU]],2,4)</f>
        <v>1104</v>
      </c>
      <c r="B71" s="13" t="str">
        <f>Indicadores[[#This Row],[CIIU]]&amp;Indicadores[[#This Row],[Año]]</f>
        <v>C11042016</v>
      </c>
      <c r="C71" s="14" t="s">
        <v>2279</v>
      </c>
      <c r="D71" s="14" t="s">
        <v>2335</v>
      </c>
      <c r="E71" s="848">
        <v>2016</v>
      </c>
      <c r="F71" s="856" t="s">
        <v>2345</v>
      </c>
      <c r="G71" s="858" t="s">
        <v>2346</v>
      </c>
      <c r="H71" s="848" t="s">
        <v>2347</v>
      </c>
      <c r="I71" s="693" t="s">
        <v>2346</v>
      </c>
      <c r="J71" s="847">
        <v>481584209</v>
      </c>
      <c r="K71" s="847">
        <v>932000801</v>
      </c>
      <c r="L71" s="841">
        <v>7624494412</v>
      </c>
      <c r="M71" s="847">
        <v>6857384865</v>
      </c>
      <c r="N71" s="839">
        <f>Indicadores[[#This Row],[Ventas]]/Indicadores[[#This Row],[Activos totales]]</f>
        <v>0.89938879805686978</v>
      </c>
      <c r="O71" s="837">
        <f>IF(Indicadores[[#This Row],[Ventas]]=0,0,Indicadores[[#This Row],[EBITDA]]/Indicadores[[#This Row],[Ventas]])</f>
        <v>0.13591198676290134</v>
      </c>
      <c r="P71" s="837">
        <f>IF(Indicadores[[#This Row],[Ventas]]=0,0,Indicadores[[#This Row],[UAI]]/Indicadores[[#This Row],[Ventas]])</f>
        <v>7.0228551916051749E-2</v>
      </c>
      <c r="Q71" s="837">
        <f>IFERROR(Indicadores[[#This Row],[Ventas]]/Indicadores[[#This Row],[Activos totales]],0)</f>
        <v>0.89938879805686978</v>
      </c>
    </row>
    <row r="72" spans="1:17" x14ac:dyDescent="0.35">
      <c r="A72" s="13" t="str">
        <f>MID(Indicadores[[#This Row],[CIIU]],2,4)</f>
        <v>1200</v>
      </c>
      <c r="B72" s="13" t="str">
        <f>Indicadores[[#This Row],[CIIU]]&amp;Indicadores[[#This Row],[Año]]</f>
        <v>C12002016</v>
      </c>
      <c r="C72" s="14" t="s">
        <v>2279</v>
      </c>
      <c r="D72" s="14" t="s">
        <v>2348</v>
      </c>
      <c r="E72" s="848">
        <v>2016</v>
      </c>
      <c r="F72" s="856" t="s">
        <v>2349</v>
      </c>
      <c r="G72" s="858" t="s">
        <v>2350</v>
      </c>
      <c r="H72" s="848" t="s">
        <v>2351</v>
      </c>
      <c r="I72" s="693" t="s">
        <v>2350</v>
      </c>
      <c r="J72" s="847">
        <v>20908604</v>
      </c>
      <c r="K72" s="847">
        <v>34731245</v>
      </c>
      <c r="L72" s="841">
        <v>505926647</v>
      </c>
      <c r="M72" s="847">
        <v>522248071</v>
      </c>
      <c r="N72" s="839">
        <f>Indicadores[[#This Row],[Ventas]]/Indicadores[[#This Row],[Activos totales]]</f>
        <v>1.0322604553383012</v>
      </c>
      <c r="O72" s="837">
        <f>IF(Indicadores[[#This Row],[Ventas]]=0,0,Indicadores[[#This Row],[EBITDA]]/Indicadores[[#This Row],[Ventas]])</f>
        <v>6.6503347601641977E-2</v>
      </c>
      <c r="P72" s="837">
        <f>IF(Indicadores[[#This Row],[Ventas]]=0,0,Indicadores[[#This Row],[UAI]]/Indicadores[[#This Row],[Ventas]])</f>
        <v>4.003577066347843E-2</v>
      </c>
      <c r="Q72" s="837">
        <f>IFERROR(Indicadores[[#This Row],[Ventas]]/Indicadores[[#This Row],[Activos totales]],0)</f>
        <v>1.0322604553383012</v>
      </c>
    </row>
    <row r="73" spans="1:17" x14ac:dyDescent="0.35">
      <c r="A73" s="13" t="str">
        <f>MID(Indicadores[[#This Row],[CIIU]],2,4)</f>
        <v>1311</v>
      </c>
      <c r="B73" s="13" t="str">
        <f>Indicadores[[#This Row],[CIIU]]&amp;Indicadores[[#This Row],[Año]]</f>
        <v>C13112016</v>
      </c>
      <c r="C73" s="14" t="s">
        <v>2279</v>
      </c>
      <c r="D73" s="14" t="s">
        <v>2352</v>
      </c>
      <c r="E73" s="848">
        <v>2016</v>
      </c>
      <c r="F73" s="856" t="s">
        <v>2353</v>
      </c>
      <c r="G73" s="858" t="s">
        <v>2354</v>
      </c>
      <c r="H73" s="848" t="s">
        <v>2355</v>
      </c>
      <c r="I73" s="693" t="s">
        <v>2354</v>
      </c>
      <c r="J73" s="847">
        <v>49973748</v>
      </c>
      <c r="K73" s="847">
        <v>92826887</v>
      </c>
      <c r="L73" s="841">
        <v>1066714796</v>
      </c>
      <c r="M73" s="847">
        <v>958341246</v>
      </c>
      <c r="N73" s="839">
        <f>Indicadores[[#This Row],[Ventas]]/Indicadores[[#This Row],[Activos totales]]</f>
        <v>0.89840438099632391</v>
      </c>
      <c r="O73" s="837">
        <f>IF(Indicadores[[#This Row],[Ventas]]=0,0,Indicadores[[#This Row],[EBITDA]]/Indicadores[[#This Row],[Ventas]])</f>
        <v>9.6862038848320633E-2</v>
      </c>
      <c r="P73" s="837">
        <f>IF(Indicadores[[#This Row],[Ventas]]=0,0,Indicadores[[#This Row],[UAI]]/Indicadores[[#This Row],[Ventas]])</f>
        <v>5.2146089097786778E-2</v>
      </c>
      <c r="Q73" s="837">
        <f>IFERROR(Indicadores[[#This Row],[Ventas]]/Indicadores[[#This Row],[Activos totales]],0)</f>
        <v>0.89840438099632391</v>
      </c>
    </row>
    <row r="74" spans="1:17" x14ac:dyDescent="0.35">
      <c r="A74" s="13" t="str">
        <f>MID(Indicadores[[#This Row],[CIIU]],2,4)</f>
        <v>1312</v>
      </c>
      <c r="B74" s="13" t="str">
        <f>Indicadores[[#This Row],[CIIU]]&amp;Indicadores[[#This Row],[Año]]</f>
        <v>C13122016</v>
      </c>
      <c r="C74" s="14" t="s">
        <v>2279</v>
      </c>
      <c r="D74" s="14" t="s">
        <v>2352</v>
      </c>
      <c r="E74" s="848">
        <v>2016</v>
      </c>
      <c r="F74" s="856" t="s">
        <v>2356</v>
      </c>
      <c r="G74" s="858" t="s">
        <v>2357</v>
      </c>
      <c r="H74" s="848" t="s">
        <v>2358</v>
      </c>
      <c r="I74" s="693" t="s">
        <v>2357</v>
      </c>
      <c r="J74" s="847">
        <v>45058649</v>
      </c>
      <c r="K74" s="847">
        <v>164069144</v>
      </c>
      <c r="L74" s="841">
        <v>2215480094</v>
      </c>
      <c r="M74" s="847">
        <v>1610724860</v>
      </c>
      <c r="N74" s="839">
        <f>Indicadores[[#This Row],[Ventas]]/Indicadores[[#This Row],[Activos totales]]</f>
        <v>0.727031971247312</v>
      </c>
      <c r="O74" s="837">
        <f>IF(Indicadores[[#This Row],[Ventas]]=0,0,Indicadores[[#This Row],[EBITDA]]/Indicadores[[#This Row],[Ventas]])</f>
        <v>0.10186044064657945</v>
      </c>
      <c r="P74" s="837">
        <f>IF(Indicadores[[#This Row],[Ventas]]=0,0,Indicadores[[#This Row],[UAI]]/Indicadores[[#This Row],[Ventas]])</f>
        <v>2.7974143889478432E-2</v>
      </c>
      <c r="Q74" s="837">
        <f>IFERROR(Indicadores[[#This Row],[Ventas]]/Indicadores[[#This Row],[Activos totales]],0)</f>
        <v>0.727031971247312</v>
      </c>
    </row>
    <row r="75" spans="1:17" x14ac:dyDescent="0.35">
      <c r="A75" s="13" t="str">
        <f>MID(Indicadores[[#This Row],[CIIU]],2,4)</f>
        <v>1313</v>
      </c>
      <c r="B75" s="13" t="str">
        <f>Indicadores[[#This Row],[CIIU]]&amp;Indicadores[[#This Row],[Año]]</f>
        <v>C13132016</v>
      </c>
      <c r="C75" s="14" t="s">
        <v>2279</v>
      </c>
      <c r="D75" s="14" t="s">
        <v>2352</v>
      </c>
      <c r="E75" s="848">
        <v>2016</v>
      </c>
      <c r="F75" s="856" t="s">
        <v>2359</v>
      </c>
      <c r="G75" s="858" t="s">
        <v>2360</v>
      </c>
      <c r="H75" s="848" t="s">
        <v>2361</v>
      </c>
      <c r="I75" s="693" t="s">
        <v>2360</v>
      </c>
      <c r="J75" s="847">
        <v>20410482</v>
      </c>
      <c r="K75" s="847">
        <v>39834439</v>
      </c>
      <c r="L75" s="841">
        <v>368818447</v>
      </c>
      <c r="M75" s="847">
        <v>363293284</v>
      </c>
      <c r="N75" s="839">
        <f>Indicadores[[#This Row],[Ventas]]/Indicadores[[#This Row],[Activos totales]]</f>
        <v>0.98501928782320369</v>
      </c>
      <c r="O75" s="837">
        <f>IF(Indicadores[[#This Row],[Ventas]]=0,0,Indicadores[[#This Row],[EBITDA]]/Indicadores[[#This Row],[Ventas]])</f>
        <v>0.10964815688692996</v>
      </c>
      <c r="P75" s="837">
        <f>IF(Indicadores[[#This Row],[Ventas]]=0,0,Indicadores[[#This Row],[UAI]]/Indicadores[[#This Row],[Ventas]])</f>
        <v>5.6181831316210074E-2</v>
      </c>
      <c r="Q75" s="837">
        <f>IFERROR(Indicadores[[#This Row],[Ventas]]/Indicadores[[#This Row],[Activos totales]],0)</f>
        <v>0.98501928782320369</v>
      </c>
    </row>
    <row r="76" spans="1:17" x14ac:dyDescent="0.35">
      <c r="A76" s="13" t="str">
        <f>MID(Indicadores[[#This Row],[CIIU]],2,4)</f>
        <v>1391</v>
      </c>
      <c r="B76" s="13" t="str">
        <f>Indicadores[[#This Row],[CIIU]]&amp;Indicadores[[#This Row],[Año]]</f>
        <v>C13912016</v>
      </c>
      <c r="C76" s="14" t="s">
        <v>2279</v>
      </c>
      <c r="D76" s="14" t="s">
        <v>2352</v>
      </c>
      <c r="E76" s="848">
        <v>2016</v>
      </c>
      <c r="F76" s="856" t="s">
        <v>2362</v>
      </c>
      <c r="G76" s="857" t="s">
        <v>2363</v>
      </c>
      <c r="H76" s="848" t="s">
        <v>2364</v>
      </c>
      <c r="I76" s="693" t="s">
        <v>2363</v>
      </c>
      <c r="J76" s="847">
        <v>-1255180</v>
      </c>
      <c r="K76" s="847">
        <v>334845</v>
      </c>
      <c r="L76" s="841">
        <v>7766635</v>
      </c>
      <c r="M76" s="847">
        <v>5631802</v>
      </c>
      <c r="N76" s="839">
        <f>Indicadores[[#This Row],[Ventas]]/Indicadores[[#This Row],[Activos totales]]</f>
        <v>0.72512767755920038</v>
      </c>
      <c r="O76" s="837">
        <f>IF(Indicadores[[#This Row],[Ventas]]=0,0,Indicadores[[#This Row],[EBITDA]]/Indicadores[[#This Row],[Ventas]])</f>
        <v>5.9456103037713329E-2</v>
      </c>
      <c r="P76" s="837">
        <f>IF(Indicadores[[#This Row],[Ventas]]=0,0,Indicadores[[#This Row],[UAI]]/Indicadores[[#This Row],[Ventas]])</f>
        <v>-0.22287360244554053</v>
      </c>
      <c r="Q76" s="837">
        <f>IFERROR(Indicadores[[#This Row],[Ventas]]/Indicadores[[#This Row],[Activos totales]],0)</f>
        <v>0.72512767755920038</v>
      </c>
    </row>
    <row r="77" spans="1:17" x14ac:dyDescent="0.35">
      <c r="A77" s="13" t="str">
        <f>MID(Indicadores[[#This Row],[CIIU]],2,4)</f>
        <v>1392</v>
      </c>
      <c r="B77" s="13" t="str">
        <f>Indicadores[[#This Row],[CIIU]]&amp;Indicadores[[#This Row],[Año]]</f>
        <v>C13922016</v>
      </c>
      <c r="C77" s="14" t="s">
        <v>2279</v>
      </c>
      <c r="D77" s="14" t="s">
        <v>2352</v>
      </c>
      <c r="E77" s="848">
        <v>2016</v>
      </c>
      <c r="F77" s="856" t="s">
        <v>2365</v>
      </c>
      <c r="G77" s="858" t="s">
        <v>2366</v>
      </c>
      <c r="H77" s="848" t="s">
        <v>2367</v>
      </c>
      <c r="I77" s="693" t="s">
        <v>2366</v>
      </c>
      <c r="J77" s="847">
        <v>20302843</v>
      </c>
      <c r="K77" s="847">
        <v>41864130</v>
      </c>
      <c r="L77" s="841">
        <v>686568367</v>
      </c>
      <c r="M77" s="847">
        <v>750156658</v>
      </c>
      <c r="N77" s="839">
        <f>Indicadores[[#This Row],[Ventas]]/Indicadores[[#This Row],[Activos totales]]</f>
        <v>1.0926175659357169</v>
      </c>
      <c r="O77" s="837">
        <f>IF(Indicadores[[#This Row],[Ventas]]=0,0,Indicadores[[#This Row],[EBITDA]]/Indicadores[[#This Row],[Ventas]])</f>
        <v>5.580718314440395E-2</v>
      </c>
      <c r="P77" s="837">
        <f>IF(Indicadores[[#This Row],[Ventas]]=0,0,Indicadores[[#This Row],[UAI]]/Indicadores[[#This Row],[Ventas]])</f>
        <v>2.7064804109223808E-2</v>
      </c>
      <c r="Q77" s="837">
        <f>IFERROR(Indicadores[[#This Row],[Ventas]]/Indicadores[[#This Row],[Activos totales]],0)</f>
        <v>1.0926175659357169</v>
      </c>
    </row>
    <row r="78" spans="1:17" x14ac:dyDescent="0.35">
      <c r="A78" s="13" t="str">
        <f>MID(Indicadores[[#This Row],[CIIU]],2,4)</f>
        <v>1393</v>
      </c>
      <c r="B78" s="13" t="str">
        <f>Indicadores[[#This Row],[CIIU]]&amp;Indicadores[[#This Row],[Año]]</f>
        <v>C13932016</v>
      </c>
      <c r="C78" s="14" t="s">
        <v>2279</v>
      </c>
      <c r="D78" s="14" t="s">
        <v>2352</v>
      </c>
      <c r="E78" s="848">
        <v>2016</v>
      </c>
      <c r="F78" s="856" t="s">
        <v>2368</v>
      </c>
      <c r="G78" s="858" t="s">
        <v>2369</v>
      </c>
      <c r="H78" s="848" t="s">
        <v>2370</v>
      </c>
      <c r="I78" s="693" t="s">
        <v>2369</v>
      </c>
      <c r="J78" s="847">
        <v>2148737</v>
      </c>
      <c r="K78" s="847">
        <v>5080757</v>
      </c>
      <c r="L78" s="841">
        <v>41609248</v>
      </c>
      <c r="M78" s="847">
        <v>27240907</v>
      </c>
      <c r="N78" s="839">
        <f>Indicadores[[#This Row],[Ventas]]/Indicadores[[#This Row],[Activos totales]]</f>
        <v>0.65468395391332235</v>
      </c>
      <c r="O78" s="837">
        <f>IF(Indicadores[[#This Row],[Ventas]]=0,0,Indicadores[[#This Row],[EBITDA]]/Indicadores[[#This Row],[Ventas]])</f>
        <v>0.18651203500676392</v>
      </c>
      <c r="P78" s="837">
        <f>IF(Indicadores[[#This Row],[Ventas]]=0,0,Indicadores[[#This Row],[UAI]]/Indicadores[[#This Row],[Ventas]])</f>
        <v>7.8879054944829843E-2</v>
      </c>
      <c r="Q78" s="837">
        <f>IFERROR(Indicadores[[#This Row],[Ventas]]/Indicadores[[#This Row],[Activos totales]],0)</f>
        <v>0.65468395391332235</v>
      </c>
    </row>
    <row r="79" spans="1:17" x14ac:dyDescent="0.35">
      <c r="A79" s="13" t="str">
        <f>MID(Indicadores[[#This Row],[CIIU]],2,4)</f>
        <v>1394</v>
      </c>
      <c r="B79" s="13" t="str">
        <f>Indicadores[[#This Row],[CIIU]]&amp;Indicadores[[#This Row],[Año]]</f>
        <v>C13942016</v>
      </c>
      <c r="C79" s="14" t="s">
        <v>2279</v>
      </c>
      <c r="D79" s="14" t="s">
        <v>2352</v>
      </c>
      <c r="E79" s="848">
        <v>2016</v>
      </c>
      <c r="F79" s="856" t="s">
        <v>2371</v>
      </c>
      <c r="G79" s="858" t="s">
        <v>2372</v>
      </c>
      <c r="H79" s="848" t="s">
        <v>2373</v>
      </c>
      <c r="I79" s="693" t="s">
        <v>2372</v>
      </c>
      <c r="J79" s="847">
        <v>2326938</v>
      </c>
      <c r="K79" s="847">
        <v>4108089</v>
      </c>
      <c r="L79" s="841">
        <v>47075875</v>
      </c>
      <c r="M79" s="847">
        <v>41285540</v>
      </c>
      <c r="N79" s="839">
        <f>Indicadores[[#This Row],[Ventas]]/Indicadores[[#This Row],[Activos totales]]</f>
        <v>0.87699994954953042</v>
      </c>
      <c r="O79" s="837">
        <f>IF(Indicadores[[#This Row],[Ventas]]=0,0,Indicadores[[#This Row],[EBITDA]]/Indicadores[[#This Row],[Ventas]])</f>
        <v>9.9504305865927872E-2</v>
      </c>
      <c r="P79" s="837">
        <f>IF(Indicadores[[#This Row],[Ventas]]=0,0,Indicadores[[#This Row],[UAI]]/Indicadores[[#This Row],[Ventas]])</f>
        <v>5.6362057998999168E-2</v>
      </c>
      <c r="Q79" s="837">
        <f>IFERROR(Indicadores[[#This Row],[Ventas]]/Indicadores[[#This Row],[Activos totales]],0)</f>
        <v>0.87699994954953042</v>
      </c>
    </row>
    <row r="80" spans="1:17" x14ac:dyDescent="0.35">
      <c r="A80" s="13" t="str">
        <f>MID(Indicadores[[#This Row],[CIIU]],2,4)</f>
        <v>1399</v>
      </c>
      <c r="B80" s="13" t="str">
        <f>Indicadores[[#This Row],[CIIU]]&amp;Indicadores[[#This Row],[Año]]</f>
        <v>C13992016</v>
      </c>
      <c r="C80" s="14" t="s">
        <v>2279</v>
      </c>
      <c r="D80" s="14" t="s">
        <v>2352</v>
      </c>
      <c r="E80" s="848">
        <v>2016</v>
      </c>
      <c r="F80" s="856" t="s">
        <v>2374</v>
      </c>
      <c r="G80" s="858" t="s">
        <v>2375</v>
      </c>
      <c r="H80" s="848" t="s">
        <v>2376</v>
      </c>
      <c r="I80" s="693" t="s">
        <v>2375</v>
      </c>
      <c r="J80" s="847">
        <v>152844894</v>
      </c>
      <c r="K80" s="847">
        <v>188158866</v>
      </c>
      <c r="L80" s="841">
        <v>808261247</v>
      </c>
      <c r="M80" s="847">
        <v>717838306</v>
      </c>
      <c r="N80" s="839">
        <f>Indicadores[[#This Row],[Ventas]]/Indicadores[[#This Row],[Activos totales]]</f>
        <v>0.88812659107977743</v>
      </c>
      <c r="O80" s="837">
        <f>IF(Indicadores[[#This Row],[Ventas]]=0,0,Indicadores[[#This Row],[EBITDA]]/Indicadores[[#This Row],[Ventas]])</f>
        <v>0.26211873123416179</v>
      </c>
      <c r="P80" s="837">
        <f>IF(Indicadores[[#This Row],[Ventas]]=0,0,Indicadores[[#This Row],[UAI]]/Indicadores[[#This Row],[Ventas]])</f>
        <v>0.21292384750501181</v>
      </c>
      <c r="Q80" s="837">
        <f>IFERROR(Indicadores[[#This Row],[Ventas]]/Indicadores[[#This Row],[Activos totales]],0)</f>
        <v>0.88812659107977743</v>
      </c>
    </row>
    <row r="81" spans="1:17" x14ac:dyDescent="0.35">
      <c r="A81" s="13" t="str">
        <f>MID(Indicadores[[#This Row],[CIIU]],2,4)</f>
        <v>1410</v>
      </c>
      <c r="B81" s="13" t="str">
        <f>Indicadores[[#This Row],[CIIU]]&amp;Indicadores[[#This Row],[Año]]</f>
        <v>C14102016</v>
      </c>
      <c r="C81" s="14" t="s">
        <v>2279</v>
      </c>
      <c r="D81" s="14" t="s">
        <v>2377</v>
      </c>
      <c r="E81" s="848">
        <v>2016</v>
      </c>
      <c r="F81" s="856" t="s">
        <v>2378</v>
      </c>
      <c r="G81" s="858" t="s">
        <v>2379</v>
      </c>
      <c r="H81" s="848" t="s">
        <v>2380</v>
      </c>
      <c r="I81" s="693" t="s">
        <v>2379</v>
      </c>
      <c r="J81" s="847">
        <v>332586702</v>
      </c>
      <c r="K81" s="847">
        <v>726010790</v>
      </c>
      <c r="L81" s="841">
        <v>6922734401</v>
      </c>
      <c r="M81" s="847">
        <v>7898114557</v>
      </c>
      <c r="N81" s="839">
        <f>Indicadores[[#This Row],[Ventas]]/Indicadores[[#This Row],[Activos totales]]</f>
        <v>1.1408952156042711</v>
      </c>
      <c r="O81" s="837">
        <f>IF(Indicadores[[#This Row],[Ventas]]=0,0,Indicadores[[#This Row],[EBITDA]]/Indicadores[[#This Row],[Ventas]])</f>
        <v>9.1922038451132074E-2</v>
      </c>
      <c r="P81" s="837">
        <f>IF(Indicadores[[#This Row],[Ventas]]=0,0,Indicadores[[#This Row],[UAI]]/Indicadores[[#This Row],[Ventas]])</f>
        <v>4.2109632571134661E-2</v>
      </c>
      <c r="Q81" s="837">
        <f>IFERROR(Indicadores[[#This Row],[Ventas]]/Indicadores[[#This Row],[Activos totales]],0)</f>
        <v>1.1408952156042711</v>
      </c>
    </row>
    <row r="82" spans="1:17" x14ac:dyDescent="0.35">
      <c r="A82" s="13" t="str">
        <f>MID(Indicadores[[#This Row],[CIIU]],2,4)</f>
        <v>1420</v>
      </c>
      <c r="B82" s="13" t="str">
        <f>Indicadores[[#This Row],[CIIU]]&amp;Indicadores[[#This Row],[Año]]</f>
        <v>C14202016</v>
      </c>
      <c r="C82" s="14" t="s">
        <v>2279</v>
      </c>
      <c r="D82" s="14" t="s">
        <v>2377</v>
      </c>
      <c r="E82" s="848">
        <v>2016</v>
      </c>
      <c r="F82" s="856" t="s">
        <v>2381</v>
      </c>
      <c r="G82" s="858" t="s">
        <v>2382</v>
      </c>
      <c r="H82" s="848" t="s">
        <v>2383</v>
      </c>
      <c r="I82" s="693" t="s">
        <v>2382</v>
      </c>
      <c r="J82" s="847">
        <v>3605769</v>
      </c>
      <c r="K82" s="847">
        <v>3975217</v>
      </c>
      <c r="L82" s="841">
        <v>28011847</v>
      </c>
      <c r="M82" s="847">
        <v>41945525</v>
      </c>
      <c r="N82" s="839">
        <f>Indicadores[[#This Row],[Ventas]]/Indicadores[[#This Row],[Activos totales]]</f>
        <v>1.4974208948092569</v>
      </c>
      <c r="O82" s="837">
        <f>IF(Indicadores[[#This Row],[Ventas]]=0,0,Indicadores[[#This Row],[EBITDA]]/Indicadores[[#This Row],[Ventas]])</f>
        <v>9.4770943980317324E-2</v>
      </c>
      <c r="P82" s="837">
        <f>IF(Indicadores[[#This Row],[Ventas]]=0,0,Indicadores[[#This Row],[UAI]]/Indicadores[[#This Row],[Ventas]])</f>
        <v>8.5963139095290853E-2</v>
      </c>
      <c r="Q82" s="837">
        <f>IFERROR(Indicadores[[#This Row],[Ventas]]/Indicadores[[#This Row],[Activos totales]],0)</f>
        <v>1.4974208948092569</v>
      </c>
    </row>
    <row r="83" spans="1:17" x14ac:dyDescent="0.35">
      <c r="A83" s="13" t="str">
        <f>MID(Indicadores[[#This Row],[CIIU]],2,4)</f>
        <v>1430</v>
      </c>
      <c r="B83" s="13" t="str">
        <f>Indicadores[[#This Row],[CIIU]]&amp;Indicadores[[#This Row],[Año]]</f>
        <v>C14302016</v>
      </c>
      <c r="C83" s="14" t="s">
        <v>2279</v>
      </c>
      <c r="D83" s="14" t="s">
        <v>2377</v>
      </c>
      <c r="E83" s="848">
        <v>2016</v>
      </c>
      <c r="F83" s="856" t="s">
        <v>2384</v>
      </c>
      <c r="G83" s="858" t="s">
        <v>2385</v>
      </c>
      <c r="H83" s="848" t="s">
        <v>2386</v>
      </c>
      <c r="I83" s="693" t="s">
        <v>2385</v>
      </c>
      <c r="J83" s="847">
        <v>-1898841</v>
      </c>
      <c r="K83" s="847">
        <v>-518841</v>
      </c>
      <c r="L83" s="841">
        <v>56094788</v>
      </c>
      <c r="M83" s="847">
        <v>30649474</v>
      </c>
      <c r="N83" s="839">
        <f>Indicadores[[#This Row],[Ventas]]/Indicadores[[#This Row],[Activos totales]]</f>
        <v>0.54638719732749508</v>
      </c>
      <c r="O83" s="837">
        <f>IF(Indicadores[[#This Row],[Ventas]]=0,0,Indicadores[[#This Row],[EBITDA]]/Indicadores[[#This Row],[Ventas]])</f>
        <v>-1.6928218735499344E-2</v>
      </c>
      <c r="P83" s="837">
        <f>IF(Indicadores[[#This Row],[Ventas]]=0,0,Indicadores[[#This Row],[UAI]]/Indicadores[[#This Row],[Ventas]])</f>
        <v>-6.195346125679025E-2</v>
      </c>
      <c r="Q83" s="837">
        <f>IFERROR(Indicadores[[#This Row],[Ventas]]/Indicadores[[#This Row],[Activos totales]],0)</f>
        <v>0.54638719732749508</v>
      </c>
    </row>
    <row r="84" spans="1:17" x14ac:dyDescent="0.35">
      <c r="A84" s="13" t="str">
        <f>MID(Indicadores[[#This Row],[CIIU]],2,4)</f>
        <v>1511</v>
      </c>
      <c r="B84" s="13" t="str">
        <f>Indicadores[[#This Row],[CIIU]]&amp;Indicadores[[#This Row],[Año]]</f>
        <v>C15112016</v>
      </c>
      <c r="C84" s="14" t="s">
        <v>2279</v>
      </c>
      <c r="D84" s="14" t="s">
        <v>2387</v>
      </c>
      <c r="E84" s="848">
        <v>2016</v>
      </c>
      <c r="F84" s="856" t="s">
        <v>2388</v>
      </c>
      <c r="G84" s="858" t="s">
        <v>2389</v>
      </c>
      <c r="H84" s="848" t="s">
        <v>2390</v>
      </c>
      <c r="I84" s="693" t="s">
        <v>2389</v>
      </c>
      <c r="J84" s="847">
        <v>12382237</v>
      </c>
      <c r="K84" s="847">
        <v>30161102</v>
      </c>
      <c r="L84" s="841">
        <v>398390659</v>
      </c>
      <c r="M84" s="847">
        <v>407069755</v>
      </c>
      <c r="N84" s="839">
        <f>Indicadores[[#This Row],[Ventas]]/Indicadores[[#This Row],[Activos totales]]</f>
        <v>1.0217853903045453</v>
      </c>
      <c r="O84" s="837">
        <f>IF(Indicadores[[#This Row],[Ventas]]=0,0,Indicadores[[#This Row],[EBITDA]]/Indicadores[[#This Row],[Ventas]])</f>
        <v>7.4093203018730777E-2</v>
      </c>
      <c r="P84" s="837">
        <f>IF(Indicadores[[#This Row],[Ventas]]=0,0,Indicadores[[#This Row],[UAI]]/Indicadores[[#This Row],[Ventas]])</f>
        <v>3.0417973450275127E-2</v>
      </c>
      <c r="Q84" s="837">
        <f>IFERROR(Indicadores[[#This Row],[Ventas]]/Indicadores[[#This Row],[Activos totales]],0)</f>
        <v>1.0217853903045453</v>
      </c>
    </row>
    <row r="85" spans="1:17" x14ac:dyDescent="0.35">
      <c r="A85" s="13" t="str">
        <f>MID(Indicadores[[#This Row],[CIIU]],2,4)</f>
        <v>1512</v>
      </c>
      <c r="B85" s="13" t="str">
        <f>Indicadores[[#This Row],[CIIU]]&amp;Indicadores[[#This Row],[Año]]</f>
        <v>C15122016</v>
      </c>
      <c r="C85" s="14" t="s">
        <v>2279</v>
      </c>
      <c r="D85" s="14" t="s">
        <v>2387</v>
      </c>
      <c r="E85" s="848">
        <v>2016</v>
      </c>
      <c r="F85" s="856" t="s">
        <v>2391</v>
      </c>
      <c r="G85" s="858" t="s">
        <v>2392</v>
      </c>
      <c r="H85" s="848" t="s">
        <v>2393</v>
      </c>
      <c r="I85" s="693" t="s">
        <v>2392</v>
      </c>
      <c r="J85" s="847">
        <v>7307204</v>
      </c>
      <c r="K85" s="847">
        <v>17696060</v>
      </c>
      <c r="L85" s="841">
        <v>168667867</v>
      </c>
      <c r="M85" s="847">
        <v>169114862</v>
      </c>
      <c r="N85" s="839">
        <f>Indicadores[[#This Row],[Ventas]]/Indicadores[[#This Row],[Activos totales]]</f>
        <v>1.0026501491241364</v>
      </c>
      <c r="O85" s="837">
        <f>IF(Indicadores[[#This Row],[Ventas]]=0,0,Indicadores[[#This Row],[EBITDA]]/Indicadores[[#This Row],[Ventas]])</f>
        <v>0.1046392953920277</v>
      </c>
      <c r="P85" s="837">
        <f>IF(Indicadores[[#This Row],[Ventas]]=0,0,Indicadores[[#This Row],[UAI]]/Indicadores[[#This Row],[Ventas]])</f>
        <v>4.3208526522051031E-2</v>
      </c>
      <c r="Q85" s="837">
        <f>IFERROR(Indicadores[[#This Row],[Ventas]]/Indicadores[[#This Row],[Activos totales]],0)</f>
        <v>1.0026501491241364</v>
      </c>
    </row>
    <row r="86" spans="1:17" x14ac:dyDescent="0.35">
      <c r="A86" s="13" t="str">
        <f>MID(Indicadores[[#This Row],[CIIU]],2,4)</f>
        <v>1513</v>
      </c>
      <c r="B86" s="13" t="str">
        <f>Indicadores[[#This Row],[CIIU]]&amp;Indicadores[[#This Row],[Año]]</f>
        <v>C15132016</v>
      </c>
      <c r="C86" s="14" t="s">
        <v>2279</v>
      </c>
      <c r="D86" s="14" t="s">
        <v>2387</v>
      </c>
      <c r="E86" s="848">
        <v>2016</v>
      </c>
      <c r="F86" s="856" t="s">
        <v>2394</v>
      </c>
      <c r="G86" s="858" t="s">
        <v>2395</v>
      </c>
      <c r="H86" s="848" t="s">
        <v>2396</v>
      </c>
      <c r="I86" s="693" t="s">
        <v>2395</v>
      </c>
      <c r="J86" s="847">
        <v>37645951</v>
      </c>
      <c r="K86" s="847">
        <v>71443970</v>
      </c>
      <c r="L86" s="841">
        <v>372707348</v>
      </c>
      <c r="M86" s="847">
        <v>476115044</v>
      </c>
      <c r="N86" s="839">
        <f>Indicadores[[#This Row],[Ventas]]/Indicadores[[#This Row],[Activos totales]]</f>
        <v>1.2774501134868959</v>
      </c>
      <c r="O86" s="837">
        <f>IF(Indicadores[[#This Row],[Ventas]]=0,0,Indicadores[[#This Row],[EBITDA]]/Indicadores[[#This Row],[Ventas]])</f>
        <v>0.15005610702777961</v>
      </c>
      <c r="P86" s="837">
        <f>IF(Indicadores[[#This Row],[Ventas]]=0,0,Indicadores[[#This Row],[UAI]]/Indicadores[[#This Row],[Ventas]])</f>
        <v>7.9069022234046438E-2</v>
      </c>
      <c r="Q86" s="837">
        <f>IFERROR(Indicadores[[#This Row],[Ventas]]/Indicadores[[#This Row],[Activos totales]],0)</f>
        <v>1.2774501134868959</v>
      </c>
    </row>
    <row r="87" spans="1:17" x14ac:dyDescent="0.35">
      <c r="A87" s="13" t="str">
        <f>MID(Indicadores[[#This Row],[CIIU]],2,4)</f>
        <v>1521</v>
      </c>
      <c r="B87" s="13" t="str">
        <f>Indicadores[[#This Row],[CIIU]]&amp;Indicadores[[#This Row],[Año]]</f>
        <v>C15212016</v>
      </c>
      <c r="C87" s="14" t="s">
        <v>2279</v>
      </c>
      <c r="D87" s="14" t="s">
        <v>2387</v>
      </c>
      <c r="E87" s="848">
        <v>2016</v>
      </c>
      <c r="F87" s="856" t="s">
        <v>2397</v>
      </c>
      <c r="G87" s="858" t="s">
        <v>2398</v>
      </c>
      <c r="H87" s="848" t="s">
        <v>2399</v>
      </c>
      <c r="I87" s="693" t="s">
        <v>2398</v>
      </c>
      <c r="J87" s="847">
        <v>19766588</v>
      </c>
      <c r="K87" s="847">
        <v>71069130</v>
      </c>
      <c r="L87" s="841">
        <v>833551768</v>
      </c>
      <c r="M87" s="847">
        <v>784939152</v>
      </c>
      <c r="N87" s="839">
        <f>Indicadores[[#This Row],[Ventas]]/Indicadores[[#This Row],[Activos totales]]</f>
        <v>0.94168014769299846</v>
      </c>
      <c r="O87" s="837">
        <f>IF(Indicadores[[#This Row],[Ventas]]=0,0,Indicadores[[#This Row],[EBITDA]]/Indicadores[[#This Row],[Ventas]])</f>
        <v>9.054094170091799E-2</v>
      </c>
      <c r="P87" s="837">
        <f>IF(Indicadores[[#This Row],[Ventas]]=0,0,Indicadores[[#This Row],[UAI]]/Indicadores[[#This Row],[Ventas]])</f>
        <v>2.5182318845524986E-2</v>
      </c>
      <c r="Q87" s="837">
        <f>IFERROR(Indicadores[[#This Row],[Ventas]]/Indicadores[[#This Row],[Activos totales]],0)</f>
        <v>0.94168014769299846</v>
      </c>
    </row>
    <row r="88" spans="1:17" x14ac:dyDescent="0.35">
      <c r="A88" s="13" t="str">
        <f>MID(Indicadores[[#This Row],[CIIU]],2,4)</f>
        <v>1522</v>
      </c>
      <c r="B88" s="13" t="str">
        <f>Indicadores[[#This Row],[CIIU]]&amp;Indicadores[[#This Row],[Año]]</f>
        <v>C15222016</v>
      </c>
      <c r="C88" s="14" t="s">
        <v>2279</v>
      </c>
      <c r="D88" s="14" t="s">
        <v>2387</v>
      </c>
      <c r="E88" s="848">
        <v>2016</v>
      </c>
      <c r="F88" s="856" t="s">
        <v>2400</v>
      </c>
      <c r="G88" s="858" t="s">
        <v>2401</v>
      </c>
      <c r="H88" s="848" t="s">
        <v>2402</v>
      </c>
      <c r="I88" s="693" t="s">
        <v>2401</v>
      </c>
      <c r="J88" s="847">
        <v>29358937</v>
      </c>
      <c r="K88" s="847">
        <v>47153249</v>
      </c>
      <c r="L88" s="841">
        <v>380588177</v>
      </c>
      <c r="M88" s="847">
        <v>612657110</v>
      </c>
      <c r="N88" s="839">
        <f>Indicadores[[#This Row],[Ventas]]/Indicadores[[#This Row],[Activos totales]]</f>
        <v>1.6097639049885673</v>
      </c>
      <c r="O88" s="837">
        <f>IF(Indicadores[[#This Row],[Ventas]]=0,0,Indicadores[[#This Row],[EBITDA]]/Indicadores[[#This Row],[Ventas]])</f>
        <v>7.6965154293239163E-2</v>
      </c>
      <c r="P88" s="837">
        <f>IF(Indicadores[[#This Row],[Ventas]]=0,0,Indicadores[[#This Row],[UAI]]/Indicadores[[#This Row],[Ventas]])</f>
        <v>4.7920666423017601E-2</v>
      </c>
      <c r="Q88" s="837">
        <f>IFERROR(Indicadores[[#This Row],[Ventas]]/Indicadores[[#This Row],[Activos totales]],0)</f>
        <v>1.6097639049885673</v>
      </c>
    </row>
    <row r="89" spans="1:17" x14ac:dyDescent="0.35">
      <c r="A89" s="13" t="str">
        <f>MID(Indicadores[[#This Row],[CIIU]],2,4)</f>
        <v>1523</v>
      </c>
      <c r="B89" s="13" t="str">
        <f>Indicadores[[#This Row],[CIIU]]&amp;Indicadores[[#This Row],[Año]]</f>
        <v>C15232016</v>
      </c>
      <c r="C89" s="14" t="s">
        <v>2279</v>
      </c>
      <c r="D89" s="14" t="s">
        <v>2387</v>
      </c>
      <c r="E89" s="848">
        <v>2016</v>
      </c>
      <c r="F89" s="856" t="s">
        <v>2403</v>
      </c>
      <c r="G89" s="858" t="s">
        <v>2404</v>
      </c>
      <c r="H89" s="848" t="s">
        <v>2405</v>
      </c>
      <c r="I89" s="693" t="s">
        <v>2404</v>
      </c>
      <c r="J89" s="847">
        <v>1957749</v>
      </c>
      <c r="K89" s="847">
        <v>5952736</v>
      </c>
      <c r="L89" s="841">
        <v>62772041</v>
      </c>
      <c r="M89" s="847">
        <v>70838735</v>
      </c>
      <c r="N89" s="839">
        <f>Indicadores[[#This Row],[Ventas]]/Indicadores[[#This Row],[Activos totales]]</f>
        <v>1.1285077539537069</v>
      </c>
      <c r="O89" s="837">
        <f>IF(Indicadores[[#This Row],[Ventas]]=0,0,Indicadores[[#This Row],[EBITDA]]/Indicadores[[#This Row],[Ventas]])</f>
        <v>8.4032217684293767E-2</v>
      </c>
      <c r="P89" s="837">
        <f>IF(Indicadores[[#This Row],[Ventas]]=0,0,Indicadores[[#This Row],[UAI]]/Indicadores[[#This Row],[Ventas]])</f>
        <v>2.7636701869393914E-2</v>
      </c>
      <c r="Q89" s="837">
        <f>IFERROR(Indicadores[[#This Row],[Ventas]]/Indicadores[[#This Row],[Activos totales]],0)</f>
        <v>1.1285077539537069</v>
      </c>
    </row>
    <row r="90" spans="1:17" x14ac:dyDescent="0.35">
      <c r="A90" s="13" t="str">
        <f>MID(Indicadores[[#This Row],[CIIU]],2,4)</f>
        <v>1610</v>
      </c>
      <c r="B90" s="13" t="str">
        <f>Indicadores[[#This Row],[CIIU]]&amp;Indicadores[[#This Row],[Año]]</f>
        <v>C16102016</v>
      </c>
      <c r="C90" s="14" t="s">
        <v>2279</v>
      </c>
      <c r="D90" s="14" t="s">
        <v>2406</v>
      </c>
      <c r="E90" s="848">
        <v>2016</v>
      </c>
      <c r="F90" s="856" t="s">
        <v>2407</v>
      </c>
      <c r="G90" s="858" t="s">
        <v>2408</v>
      </c>
      <c r="H90" s="848" t="s">
        <v>2409</v>
      </c>
      <c r="I90" s="693" t="s">
        <v>2408</v>
      </c>
      <c r="J90" s="847">
        <v>917946</v>
      </c>
      <c r="K90" s="847">
        <v>4676731</v>
      </c>
      <c r="L90" s="841">
        <v>160182274</v>
      </c>
      <c r="M90" s="847">
        <v>90552872</v>
      </c>
      <c r="N90" s="839">
        <f>Indicadores[[#This Row],[Ventas]]/Indicadores[[#This Row],[Activos totales]]</f>
        <v>0.56531144014099832</v>
      </c>
      <c r="O90" s="837">
        <f>IF(Indicadores[[#This Row],[Ventas]]=0,0,Indicadores[[#This Row],[EBITDA]]/Indicadores[[#This Row],[Ventas]])</f>
        <v>5.1646412716760653E-2</v>
      </c>
      <c r="P90" s="837">
        <f>IF(Indicadores[[#This Row],[Ventas]]=0,0,Indicadores[[#This Row],[UAI]]/Indicadores[[#This Row],[Ventas]])</f>
        <v>1.0137127401105511E-2</v>
      </c>
      <c r="Q90" s="837">
        <f>IFERROR(Indicadores[[#This Row],[Ventas]]/Indicadores[[#This Row],[Activos totales]],0)</f>
        <v>0.56531144014099832</v>
      </c>
    </row>
    <row r="91" spans="1:17" x14ac:dyDescent="0.35">
      <c r="A91" s="13" t="str">
        <f>MID(Indicadores[[#This Row],[CIIU]],2,4)</f>
        <v>1620</v>
      </c>
      <c r="B91" s="13" t="str">
        <f>Indicadores[[#This Row],[CIIU]]&amp;Indicadores[[#This Row],[Año]]</f>
        <v>C16202016</v>
      </c>
      <c r="C91" s="14" t="s">
        <v>2279</v>
      </c>
      <c r="D91" s="14" t="s">
        <v>2406</v>
      </c>
      <c r="E91" s="848">
        <v>2016</v>
      </c>
      <c r="F91" s="856" t="s">
        <v>2410</v>
      </c>
      <c r="G91" s="858" t="s">
        <v>2411</v>
      </c>
      <c r="H91" s="848" t="s">
        <v>2412</v>
      </c>
      <c r="I91" s="693" t="s">
        <v>2411</v>
      </c>
      <c r="J91" s="847">
        <v>29734072</v>
      </c>
      <c r="K91" s="847">
        <v>36112995</v>
      </c>
      <c r="L91" s="841">
        <v>492263193</v>
      </c>
      <c r="M91" s="847">
        <v>252497511</v>
      </c>
      <c r="N91" s="839">
        <f>Indicadores[[#This Row],[Ventas]]/Indicadores[[#This Row],[Activos totales]]</f>
        <v>0.51293193273542192</v>
      </c>
      <c r="O91" s="837">
        <f>IF(Indicadores[[#This Row],[Ventas]]=0,0,Indicadores[[#This Row],[EBITDA]]/Indicadores[[#This Row],[Ventas]])</f>
        <v>0.14302317221653721</v>
      </c>
      <c r="P91" s="837">
        <f>IF(Indicadores[[#This Row],[Ventas]]=0,0,Indicadores[[#This Row],[UAI]]/Indicadores[[#This Row],[Ventas]])</f>
        <v>0.11775986179919215</v>
      </c>
      <c r="Q91" s="837">
        <f>IFERROR(Indicadores[[#This Row],[Ventas]]/Indicadores[[#This Row],[Activos totales]],0)</f>
        <v>0.51293193273542192</v>
      </c>
    </row>
    <row r="92" spans="1:17" x14ac:dyDescent="0.35">
      <c r="A92" s="13" t="str">
        <f>MID(Indicadores[[#This Row],[CIIU]],2,4)</f>
        <v>1630</v>
      </c>
      <c r="B92" s="13" t="str">
        <f>Indicadores[[#This Row],[CIIU]]&amp;Indicadores[[#This Row],[Año]]</f>
        <v>C16302016</v>
      </c>
      <c r="C92" s="14" t="s">
        <v>2279</v>
      </c>
      <c r="D92" s="14" t="s">
        <v>2406</v>
      </c>
      <c r="E92" s="848">
        <v>2016</v>
      </c>
      <c r="F92" s="856" t="s">
        <v>2413</v>
      </c>
      <c r="G92" s="858" t="s">
        <v>2414</v>
      </c>
      <c r="H92" s="848" t="s">
        <v>2415</v>
      </c>
      <c r="I92" s="693" t="s">
        <v>2414</v>
      </c>
      <c r="J92" s="847">
        <v>-14600340</v>
      </c>
      <c r="K92" s="847">
        <v>10490964</v>
      </c>
      <c r="L92" s="841">
        <v>443954053</v>
      </c>
      <c r="M92" s="847">
        <v>314053041</v>
      </c>
      <c r="N92" s="839">
        <f>Indicadores[[#This Row],[Ventas]]/Indicadores[[#This Row],[Activos totales]]</f>
        <v>0.70739987365314128</v>
      </c>
      <c r="O92" s="837">
        <f>IF(Indicadores[[#This Row],[Ventas]]=0,0,Indicadores[[#This Row],[EBITDA]]/Indicadores[[#This Row],[Ventas]])</f>
        <v>3.3405070578507785E-2</v>
      </c>
      <c r="P92" s="837">
        <f>IF(Indicadores[[#This Row],[Ventas]]=0,0,Indicadores[[#This Row],[UAI]]/Indicadores[[#This Row],[Ventas]])</f>
        <v>-4.6490044973008238E-2</v>
      </c>
      <c r="Q92" s="837">
        <f>IFERROR(Indicadores[[#This Row],[Ventas]]/Indicadores[[#This Row],[Activos totales]],0)</f>
        <v>0.70739987365314128</v>
      </c>
    </row>
    <row r="93" spans="1:17" x14ac:dyDescent="0.35">
      <c r="A93" s="13" t="str">
        <f>MID(Indicadores[[#This Row],[CIIU]],2,4)</f>
        <v>1640</v>
      </c>
      <c r="B93" s="13" t="str">
        <f>Indicadores[[#This Row],[CIIU]]&amp;Indicadores[[#This Row],[Año]]</f>
        <v>C16402016</v>
      </c>
      <c r="C93" s="14" t="s">
        <v>2279</v>
      </c>
      <c r="D93" s="14" t="s">
        <v>2406</v>
      </c>
      <c r="E93" s="848">
        <v>2016</v>
      </c>
      <c r="F93" s="856" t="s">
        <v>2416</v>
      </c>
      <c r="G93" s="857" t="s">
        <v>2417</v>
      </c>
      <c r="H93" s="848" t="s">
        <v>2418</v>
      </c>
      <c r="I93" s="693" t="s">
        <v>2417</v>
      </c>
      <c r="J93" s="847">
        <v>-266905</v>
      </c>
      <c r="K93" s="847">
        <v>-211886</v>
      </c>
      <c r="L93" s="841">
        <v>11130452</v>
      </c>
      <c r="M93" s="847">
        <v>15355673</v>
      </c>
      <c r="N93" s="839">
        <f>Indicadores[[#This Row],[Ventas]]/Indicadores[[#This Row],[Activos totales]]</f>
        <v>1.3796091120109049</v>
      </c>
      <c r="O93" s="837">
        <f>IF(Indicadores[[#This Row],[Ventas]]=0,0,Indicadores[[#This Row],[EBITDA]]/Indicadores[[#This Row],[Ventas]])</f>
        <v>-1.3798548588524905E-2</v>
      </c>
      <c r="P93" s="837">
        <f>IF(Indicadores[[#This Row],[Ventas]]=0,0,Indicadores[[#This Row],[UAI]]/Indicadores[[#This Row],[Ventas]])</f>
        <v>-1.7381524079081393E-2</v>
      </c>
      <c r="Q93" s="837">
        <f>IFERROR(Indicadores[[#This Row],[Ventas]]/Indicadores[[#This Row],[Activos totales]],0)</f>
        <v>1.3796091120109049</v>
      </c>
    </row>
    <row r="94" spans="1:17" x14ac:dyDescent="0.35">
      <c r="A94" s="13" t="str">
        <f>MID(Indicadores[[#This Row],[CIIU]],2,4)</f>
        <v>1690</v>
      </c>
      <c r="B94" s="13" t="str">
        <f>Indicadores[[#This Row],[CIIU]]&amp;Indicadores[[#This Row],[Año]]</f>
        <v>C16902016</v>
      </c>
      <c r="C94" s="14" t="s">
        <v>2279</v>
      </c>
      <c r="D94" s="14" t="s">
        <v>2406</v>
      </c>
      <c r="E94" s="848">
        <v>2016</v>
      </c>
      <c r="F94" s="856" t="s">
        <v>2419</v>
      </c>
      <c r="G94" s="858" t="s">
        <v>2420</v>
      </c>
      <c r="H94" s="848" t="s">
        <v>2421</v>
      </c>
      <c r="I94" s="693" t="s">
        <v>2420</v>
      </c>
      <c r="J94" s="847">
        <v>4126545</v>
      </c>
      <c r="K94" s="847">
        <v>4870780</v>
      </c>
      <c r="L94" s="841">
        <v>70968423</v>
      </c>
      <c r="M94" s="847">
        <v>31816824</v>
      </c>
      <c r="N94" s="839">
        <f>Indicadores[[#This Row],[Ventas]]/Indicadores[[#This Row],[Activos totales]]</f>
        <v>0.44832367206468715</v>
      </c>
      <c r="O94" s="837">
        <f>IF(Indicadores[[#This Row],[Ventas]]=0,0,Indicadores[[#This Row],[EBITDA]]/Indicadores[[#This Row],[Ventas]])</f>
        <v>0.15308819007201976</v>
      </c>
      <c r="P94" s="837">
        <f>IF(Indicadores[[#This Row],[Ventas]]=0,0,Indicadores[[#This Row],[UAI]]/Indicadores[[#This Row],[Ventas]])</f>
        <v>0.12969694901037263</v>
      </c>
      <c r="Q94" s="837">
        <f>IFERROR(Indicadores[[#This Row],[Ventas]]/Indicadores[[#This Row],[Activos totales]],0)</f>
        <v>0.44832367206468715</v>
      </c>
    </row>
    <row r="95" spans="1:17" x14ac:dyDescent="0.35">
      <c r="A95" s="13" t="str">
        <f>MID(Indicadores[[#This Row],[CIIU]],2,4)</f>
        <v>1701</v>
      </c>
      <c r="B95" s="13" t="str">
        <f>Indicadores[[#This Row],[CIIU]]&amp;Indicadores[[#This Row],[Año]]</f>
        <v>C17012016</v>
      </c>
      <c r="C95" s="14" t="s">
        <v>2279</v>
      </c>
      <c r="D95" s="14" t="s">
        <v>2422</v>
      </c>
      <c r="E95" s="848">
        <v>2016</v>
      </c>
      <c r="F95" s="856" t="s">
        <v>2423</v>
      </c>
      <c r="G95" s="858" t="s">
        <v>2424</v>
      </c>
      <c r="H95" s="848" t="s">
        <v>2425</v>
      </c>
      <c r="I95" s="693" t="s">
        <v>2424</v>
      </c>
      <c r="J95" s="847">
        <v>50559016</v>
      </c>
      <c r="K95" s="847">
        <v>73437685</v>
      </c>
      <c r="L95" s="841">
        <v>1393622581</v>
      </c>
      <c r="M95" s="847">
        <v>897206757</v>
      </c>
      <c r="N95" s="839">
        <f>Indicadores[[#This Row],[Ventas]]/Indicadores[[#This Row],[Activos totales]]</f>
        <v>0.6437946465794242</v>
      </c>
      <c r="O95" s="837">
        <f>IF(Indicadores[[#This Row],[Ventas]]=0,0,Indicadores[[#This Row],[EBITDA]]/Indicadores[[#This Row],[Ventas]])</f>
        <v>8.1851462248851523E-2</v>
      </c>
      <c r="P95" s="837">
        <f>IF(Indicadores[[#This Row],[Ventas]]=0,0,Indicadores[[#This Row],[UAI]]/Indicadores[[#This Row],[Ventas]])</f>
        <v>5.6351577387864012E-2</v>
      </c>
      <c r="Q95" s="837">
        <f>IFERROR(Indicadores[[#This Row],[Ventas]]/Indicadores[[#This Row],[Activos totales]],0)</f>
        <v>0.6437946465794242</v>
      </c>
    </row>
    <row r="96" spans="1:17" x14ac:dyDescent="0.35">
      <c r="A96" s="13" t="str">
        <f>MID(Indicadores[[#This Row],[CIIU]],2,4)</f>
        <v>1702</v>
      </c>
      <c r="B96" s="13" t="str">
        <f>Indicadores[[#This Row],[CIIU]]&amp;Indicadores[[#This Row],[Año]]</f>
        <v>C17022016</v>
      </c>
      <c r="C96" s="14" t="s">
        <v>2279</v>
      </c>
      <c r="D96" s="14" t="s">
        <v>2422</v>
      </c>
      <c r="E96" s="848">
        <v>2016</v>
      </c>
      <c r="F96" s="856" t="s">
        <v>2426</v>
      </c>
      <c r="G96" s="858" t="s">
        <v>2427</v>
      </c>
      <c r="H96" s="848" t="s">
        <v>2428</v>
      </c>
      <c r="I96" s="693" t="s">
        <v>2429</v>
      </c>
      <c r="J96" s="847">
        <v>121493935</v>
      </c>
      <c r="K96" s="847">
        <v>199797867</v>
      </c>
      <c r="L96" s="841">
        <v>2154158619</v>
      </c>
      <c r="M96" s="847">
        <v>1460320787</v>
      </c>
      <c r="N96" s="839">
        <f>Indicadores[[#This Row],[Ventas]]/Indicadores[[#This Row],[Activos totales]]</f>
        <v>0.67790773349731681</v>
      </c>
      <c r="O96" s="837">
        <f>IF(Indicadores[[#This Row],[Ventas]]=0,0,Indicadores[[#This Row],[EBITDA]]/Indicadores[[#This Row],[Ventas]])</f>
        <v>0.13681779289771898</v>
      </c>
      <c r="P96" s="837">
        <f>IF(Indicadores[[#This Row],[Ventas]]=0,0,Indicadores[[#This Row],[UAI]]/Indicadores[[#This Row],[Ventas]])</f>
        <v>8.3196744223295094E-2</v>
      </c>
      <c r="Q96" s="837">
        <f>IFERROR(Indicadores[[#This Row],[Ventas]]/Indicadores[[#This Row],[Activos totales]],0)</f>
        <v>0.67790773349731681</v>
      </c>
    </row>
    <row r="97" spans="1:17" x14ac:dyDescent="0.35">
      <c r="A97" s="13" t="str">
        <f>MID(Indicadores[[#This Row],[CIIU]],2,4)</f>
        <v>1709</v>
      </c>
      <c r="B97" s="13" t="str">
        <f>Indicadores[[#This Row],[CIIU]]&amp;Indicadores[[#This Row],[Año]]</f>
        <v>C17092016</v>
      </c>
      <c r="C97" s="14" t="s">
        <v>2279</v>
      </c>
      <c r="D97" s="14" t="s">
        <v>2422</v>
      </c>
      <c r="E97" s="848">
        <v>2016</v>
      </c>
      <c r="F97" s="856" t="s">
        <v>2430</v>
      </c>
      <c r="G97" s="858" t="s">
        <v>2431</v>
      </c>
      <c r="H97" s="848" t="s">
        <v>2432</v>
      </c>
      <c r="I97" s="693" t="s">
        <v>2431</v>
      </c>
      <c r="J97" s="847">
        <v>424941514</v>
      </c>
      <c r="K97" s="847">
        <v>449505553</v>
      </c>
      <c r="L97" s="841">
        <v>5361196939</v>
      </c>
      <c r="M97" s="847">
        <v>4293422654</v>
      </c>
      <c r="N97" s="839">
        <f>Indicadores[[#This Row],[Ventas]]/Indicadores[[#This Row],[Activos totales]]</f>
        <v>0.80083285558258799</v>
      </c>
      <c r="O97" s="837">
        <f>IF(Indicadores[[#This Row],[Ventas]]=0,0,Indicadores[[#This Row],[EBITDA]]/Indicadores[[#This Row],[Ventas]])</f>
        <v>0.10469632021464617</v>
      </c>
      <c r="P97" s="837">
        <f>IF(Indicadores[[#This Row],[Ventas]]=0,0,Indicadores[[#This Row],[UAI]]/Indicadores[[#This Row],[Ventas]])</f>
        <v>9.8975001588557793E-2</v>
      </c>
      <c r="Q97" s="837">
        <f>IFERROR(Indicadores[[#This Row],[Ventas]]/Indicadores[[#This Row],[Activos totales]],0)</f>
        <v>0.80083285558258799</v>
      </c>
    </row>
    <row r="98" spans="1:17" x14ac:dyDescent="0.35">
      <c r="A98" s="13" t="str">
        <f>MID(Indicadores[[#This Row],[CIIU]],2,4)</f>
        <v>1811</v>
      </c>
      <c r="B98" s="13" t="str">
        <f>Indicadores[[#This Row],[CIIU]]&amp;Indicadores[[#This Row],[Año]]</f>
        <v>C18112016</v>
      </c>
      <c r="C98" s="14" t="s">
        <v>2279</v>
      </c>
      <c r="D98" s="14" t="s">
        <v>2433</v>
      </c>
      <c r="E98" s="848">
        <v>2016</v>
      </c>
      <c r="F98" s="856" t="s">
        <v>2434</v>
      </c>
      <c r="G98" s="858" t="s">
        <v>2435</v>
      </c>
      <c r="H98" s="848" t="s">
        <v>2436</v>
      </c>
      <c r="I98" s="693" t="s">
        <v>2435</v>
      </c>
      <c r="J98" s="847">
        <v>133248533</v>
      </c>
      <c r="K98" s="847">
        <v>240405331</v>
      </c>
      <c r="L98" s="841">
        <v>2534514563</v>
      </c>
      <c r="M98" s="847">
        <v>2195723784</v>
      </c>
      <c r="N98" s="839">
        <f>Indicadores[[#This Row],[Ventas]]/Indicadores[[#This Row],[Activos totales]]</f>
        <v>0.8663291251327484</v>
      </c>
      <c r="O98" s="837">
        <f>IF(Indicadores[[#This Row],[Ventas]]=0,0,Indicadores[[#This Row],[EBITDA]]/Indicadores[[#This Row],[Ventas]])</f>
        <v>0.10948796599636414</v>
      </c>
      <c r="P98" s="837">
        <f>IF(Indicadores[[#This Row],[Ventas]]=0,0,Indicadores[[#This Row],[UAI]]/Indicadores[[#This Row],[Ventas]])</f>
        <v>6.0685471447259234E-2</v>
      </c>
      <c r="Q98" s="837">
        <f>IFERROR(Indicadores[[#This Row],[Ventas]]/Indicadores[[#This Row],[Activos totales]],0)</f>
        <v>0.8663291251327484</v>
      </c>
    </row>
    <row r="99" spans="1:17" x14ac:dyDescent="0.35">
      <c r="A99" s="13" t="str">
        <f>MID(Indicadores[[#This Row],[CIIU]],2,4)</f>
        <v>1812</v>
      </c>
      <c r="B99" s="13" t="str">
        <f>Indicadores[[#This Row],[CIIU]]&amp;Indicadores[[#This Row],[Año]]</f>
        <v>C18122016</v>
      </c>
      <c r="C99" s="14" t="s">
        <v>2279</v>
      </c>
      <c r="D99" s="14" t="s">
        <v>2433</v>
      </c>
      <c r="E99" s="848">
        <v>2016</v>
      </c>
      <c r="F99" s="856" t="s">
        <v>2437</v>
      </c>
      <c r="G99" s="858" t="s">
        <v>2438</v>
      </c>
      <c r="H99" s="848" t="s">
        <v>2439</v>
      </c>
      <c r="I99" s="693" t="s">
        <v>2438</v>
      </c>
      <c r="J99" s="847">
        <v>8278046</v>
      </c>
      <c r="K99" s="847">
        <v>16474261</v>
      </c>
      <c r="L99" s="841">
        <v>149194285</v>
      </c>
      <c r="M99" s="847">
        <v>133874520</v>
      </c>
      <c r="N99" s="839">
        <f>Indicadores[[#This Row],[Ventas]]/Indicadores[[#This Row],[Activos totales]]</f>
        <v>0.89731667670782433</v>
      </c>
      <c r="O99" s="837">
        <f>IF(Indicadores[[#This Row],[Ventas]]=0,0,Indicadores[[#This Row],[EBITDA]]/Indicadores[[#This Row],[Ventas]])</f>
        <v>0.12305747949647176</v>
      </c>
      <c r="P99" s="837">
        <f>IF(Indicadores[[#This Row],[Ventas]]=0,0,Indicadores[[#This Row],[UAI]]/Indicadores[[#This Row],[Ventas]])</f>
        <v>6.1834365493896822E-2</v>
      </c>
      <c r="Q99" s="837">
        <f>IFERROR(Indicadores[[#This Row],[Ventas]]/Indicadores[[#This Row],[Activos totales]],0)</f>
        <v>0.89731667670782433</v>
      </c>
    </row>
    <row r="100" spans="1:17" x14ac:dyDescent="0.35">
      <c r="A100" s="13" t="str">
        <f>MID(Indicadores[[#This Row],[CIIU]],2,4)</f>
        <v>1820</v>
      </c>
      <c r="B100" s="13" t="str">
        <f>Indicadores[[#This Row],[CIIU]]&amp;Indicadores[[#This Row],[Año]]</f>
        <v>C18202016</v>
      </c>
      <c r="C100" s="14" t="s">
        <v>2279</v>
      </c>
      <c r="D100" s="14" t="s">
        <v>2433</v>
      </c>
      <c r="E100" s="848">
        <v>2016</v>
      </c>
      <c r="F100" s="856" t="s">
        <v>2440</v>
      </c>
      <c r="G100" s="857" t="s">
        <v>2441</v>
      </c>
      <c r="H100" s="848" t="s">
        <v>2442</v>
      </c>
      <c r="I100" s="693" t="s">
        <v>2443</v>
      </c>
      <c r="J100" s="847">
        <v>2987962</v>
      </c>
      <c r="K100" s="847">
        <v>5268028</v>
      </c>
      <c r="L100" s="841">
        <v>30217823</v>
      </c>
      <c r="M100" s="847">
        <v>31971891</v>
      </c>
      <c r="N100" s="839">
        <f>Indicadores[[#This Row],[Ventas]]/Indicadores[[#This Row],[Activos totales]]</f>
        <v>1.0580474642398958</v>
      </c>
      <c r="O100" s="837">
        <f>IF(Indicadores[[#This Row],[Ventas]]=0,0,Indicadores[[#This Row],[EBITDA]]/Indicadores[[#This Row],[Ventas]])</f>
        <v>0.16477061053410949</v>
      </c>
      <c r="P100" s="837">
        <f>IF(Indicadores[[#This Row],[Ventas]]=0,0,Indicadores[[#This Row],[UAI]]/Indicadores[[#This Row],[Ventas]])</f>
        <v>9.3455904750832541E-2</v>
      </c>
      <c r="Q100" s="837">
        <f>IFERROR(Indicadores[[#This Row],[Ventas]]/Indicadores[[#This Row],[Activos totales]],0)</f>
        <v>1.0580474642398958</v>
      </c>
    </row>
    <row r="101" spans="1:17" x14ac:dyDescent="0.35">
      <c r="A101" s="13" t="str">
        <f>MID(Indicadores[[#This Row],[CIIU]],2,4)</f>
        <v>1910</v>
      </c>
      <c r="B101" s="13" t="str">
        <f>Indicadores[[#This Row],[CIIU]]&amp;Indicadores[[#This Row],[Año]]</f>
        <v>C19102016</v>
      </c>
      <c r="C101" s="14" t="s">
        <v>2279</v>
      </c>
      <c r="D101" s="14" t="s">
        <v>2444</v>
      </c>
      <c r="E101" s="848">
        <v>2016</v>
      </c>
      <c r="F101" s="856" t="s">
        <v>2445</v>
      </c>
      <c r="G101" s="858" t="s">
        <v>2446</v>
      </c>
      <c r="H101" s="848" t="s">
        <v>2447</v>
      </c>
      <c r="I101" s="693" t="s">
        <v>2446</v>
      </c>
      <c r="J101" s="847">
        <v>20261038</v>
      </c>
      <c r="K101" s="847">
        <v>49346247</v>
      </c>
      <c r="L101" s="841">
        <v>528569666</v>
      </c>
      <c r="M101" s="847">
        <v>505934612</v>
      </c>
      <c r="N101" s="839">
        <f>Indicadores[[#This Row],[Ventas]]/Indicadores[[#This Row],[Activos totales]]</f>
        <v>0.9571767820667938</v>
      </c>
      <c r="O101" s="837">
        <f>IF(Indicadores[[#This Row],[Ventas]]=0,0,Indicadores[[#This Row],[EBITDA]]/Indicadores[[#This Row],[Ventas]])</f>
        <v>9.7534831240207773E-2</v>
      </c>
      <c r="P101" s="837">
        <f>IF(Indicadores[[#This Row],[Ventas]]=0,0,Indicadores[[#This Row],[UAI]]/Indicadores[[#This Row],[Ventas]])</f>
        <v>4.004675212851419E-2</v>
      </c>
      <c r="Q101" s="837">
        <f>IFERROR(Indicadores[[#This Row],[Ventas]]/Indicadores[[#This Row],[Activos totales]],0)</f>
        <v>0.9571767820667938</v>
      </c>
    </row>
    <row r="102" spans="1:17" x14ac:dyDescent="0.35">
      <c r="A102" s="13" t="str">
        <f>MID(Indicadores[[#This Row],[CIIU]],2,4)</f>
        <v>1921</v>
      </c>
      <c r="B102" s="13" t="str">
        <f>Indicadores[[#This Row],[CIIU]]&amp;Indicadores[[#This Row],[Año]]</f>
        <v>C19212016</v>
      </c>
      <c r="C102" s="14" t="s">
        <v>2279</v>
      </c>
      <c r="D102" s="14" t="s">
        <v>2444</v>
      </c>
      <c r="E102" s="848">
        <v>2016</v>
      </c>
      <c r="F102" s="856" t="s">
        <v>2448</v>
      </c>
      <c r="G102" s="858" t="s">
        <v>2449</v>
      </c>
      <c r="H102" s="848" t="s">
        <v>2450</v>
      </c>
      <c r="I102" s="693" t="s">
        <v>2449</v>
      </c>
      <c r="J102" s="847">
        <v>-2703544994</v>
      </c>
      <c r="K102" s="847">
        <v>-1281821404</v>
      </c>
      <c r="L102" s="841">
        <v>25961606281</v>
      </c>
      <c r="M102" s="847">
        <v>7225927255</v>
      </c>
      <c r="N102" s="839">
        <f>Indicadores[[#This Row],[Ventas]]/Indicadores[[#This Row],[Activos totales]]</f>
        <v>0.27833128569892435</v>
      </c>
      <c r="O102" s="837">
        <f>IF(Indicadores[[#This Row],[Ventas]]=0,0,Indicadores[[#This Row],[EBITDA]]/Indicadores[[#This Row],[Ventas]])</f>
        <v>-0.17739196074981797</v>
      </c>
      <c r="P102" s="837">
        <f>IF(Indicadores[[#This Row],[Ventas]]=0,0,Indicadores[[#This Row],[UAI]]/Indicadores[[#This Row],[Ventas]])</f>
        <v>-0.37414506105486667</v>
      </c>
      <c r="Q102" s="837">
        <f>IFERROR(Indicadores[[#This Row],[Ventas]]/Indicadores[[#This Row],[Activos totales]],0)</f>
        <v>0.27833128569892435</v>
      </c>
    </row>
    <row r="103" spans="1:17" x14ac:dyDescent="0.35">
      <c r="A103" s="13" t="str">
        <f>MID(Indicadores[[#This Row],[CIIU]],2,4)</f>
        <v>2011</v>
      </c>
      <c r="B103" s="13" t="str">
        <f>Indicadores[[#This Row],[CIIU]]&amp;Indicadores[[#This Row],[Año]]</f>
        <v>C20112016</v>
      </c>
      <c r="C103" s="14" t="s">
        <v>2279</v>
      </c>
      <c r="D103" s="14" t="s">
        <v>2451</v>
      </c>
      <c r="E103" s="848">
        <v>2016</v>
      </c>
      <c r="F103" s="856" t="s">
        <v>2452</v>
      </c>
      <c r="G103" s="858" t="s">
        <v>2453</v>
      </c>
      <c r="H103" s="848" t="s">
        <v>2454</v>
      </c>
      <c r="I103" s="693" t="s">
        <v>2453</v>
      </c>
      <c r="J103" s="847">
        <v>244969674</v>
      </c>
      <c r="K103" s="847">
        <v>390670457</v>
      </c>
      <c r="L103" s="841">
        <v>3033290805</v>
      </c>
      <c r="M103" s="847">
        <v>2170785536</v>
      </c>
      <c r="N103" s="839">
        <f>Indicadores[[#This Row],[Ventas]]/Indicadores[[#This Row],[Activos totales]]</f>
        <v>0.71565361699634333</v>
      </c>
      <c r="O103" s="837">
        <f>IF(Indicadores[[#This Row],[Ventas]]=0,0,Indicadores[[#This Row],[EBITDA]]/Indicadores[[#This Row],[Ventas]])</f>
        <v>0.17996732082519273</v>
      </c>
      <c r="P103" s="837">
        <f>IF(Indicadores[[#This Row],[Ventas]]=0,0,Indicadores[[#This Row],[UAI]]/Indicadores[[#This Row],[Ventas]])</f>
        <v>0.11284839977853989</v>
      </c>
      <c r="Q103" s="837">
        <f>IFERROR(Indicadores[[#This Row],[Ventas]]/Indicadores[[#This Row],[Activos totales]],0)</f>
        <v>0.71565361699634333</v>
      </c>
    </row>
    <row r="104" spans="1:17" x14ac:dyDescent="0.35">
      <c r="A104" s="13" t="str">
        <f>MID(Indicadores[[#This Row],[CIIU]],2,4)</f>
        <v>2012</v>
      </c>
      <c r="B104" s="13" t="str">
        <f>Indicadores[[#This Row],[CIIU]]&amp;Indicadores[[#This Row],[Año]]</f>
        <v>C20122016</v>
      </c>
      <c r="C104" s="14" t="s">
        <v>2279</v>
      </c>
      <c r="D104" s="14" t="s">
        <v>2451</v>
      </c>
      <c r="E104" s="848">
        <v>2016</v>
      </c>
      <c r="F104" s="856" t="s">
        <v>2455</v>
      </c>
      <c r="G104" s="858" t="s">
        <v>2456</v>
      </c>
      <c r="H104" s="848" t="s">
        <v>2457</v>
      </c>
      <c r="I104" s="693" t="s">
        <v>2456</v>
      </c>
      <c r="J104" s="847">
        <v>79536750</v>
      </c>
      <c r="K104" s="847">
        <v>138007264</v>
      </c>
      <c r="L104" s="841">
        <v>2436347757</v>
      </c>
      <c r="M104" s="847">
        <v>3077990012</v>
      </c>
      <c r="N104" s="839">
        <f>Indicadores[[#This Row],[Ventas]]/Indicadores[[#This Row],[Activos totales]]</f>
        <v>1.2633623435556207</v>
      </c>
      <c r="O104" s="837">
        <f>IF(Indicadores[[#This Row],[Ventas]]=0,0,Indicadores[[#This Row],[EBITDA]]/Indicadores[[#This Row],[Ventas]])</f>
        <v>4.4836813460069146E-2</v>
      </c>
      <c r="P104" s="837">
        <f>IF(Indicadores[[#This Row],[Ventas]]=0,0,Indicadores[[#This Row],[UAI]]/Indicadores[[#This Row],[Ventas]])</f>
        <v>2.5840483461581812E-2</v>
      </c>
      <c r="Q104" s="837">
        <f>IFERROR(Indicadores[[#This Row],[Ventas]]/Indicadores[[#This Row],[Activos totales]],0)</f>
        <v>1.2633623435556207</v>
      </c>
    </row>
    <row r="105" spans="1:17" x14ac:dyDescent="0.35">
      <c r="A105" s="13" t="str">
        <f>MID(Indicadores[[#This Row],[CIIU]],2,4)</f>
        <v>2013</v>
      </c>
      <c r="B105" s="13" t="str">
        <f>Indicadores[[#This Row],[CIIU]]&amp;Indicadores[[#This Row],[Año]]</f>
        <v>C20132016</v>
      </c>
      <c r="C105" s="14" t="s">
        <v>2279</v>
      </c>
      <c r="D105" s="14" t="s">
        <v>2451</v>
      </c>
      <c r="E105" s="848">
        <v>2016</v>
      </c>
      <c r="F105" s="856" t="s">
        <v>2458</v>
      </c>
      <c r="G105" s="858" t="s">
        <v>2459</v>
      </c>
      <c r="H105" s="848" t="s">
        <v>2460</v>
      </c>
      <c r="I105" s="693" t="s">
        <v>2459</v>
      </c>
      <c r="J105" s="847">
        <v>534084161</v>
      </c>
      <c r="K105" s="847">
        <v>566720494</v>
      </c>
      <c r="L105" s="841">
        <v>3653931722</v>
      </c>
      <c r="M105" s="847">
        <v>4548224575</v>
      </c>
      <c r="N105" s="839">
        <f>Indicadores[[#This Row],[Ventas]]/Indicadores[[#This Row],[Activos totales]]</f>
        <v>1.2447481017818538</v>
      </c>
      <c r="O105" s="837">
        <f>IF(Indicadores[[#This Row],[Ventas]]=0,0,Indicadores[[#This Row],[EBITDA]]/Indicadores[[#This Row],[Ventas]])</f>
        <v>0.12460257506084119</v>
      </c>
      <c r="P105" s="837">
        <f>IF(Indicadores[[#This Row],[Ventas]]=0,0,Indicadores[[#This Row],[UAI]]/Indicadores[[#This Row],[Ventas]])</f>
        <v>0.11742695467054856</v>
      </c>
      <c r="Q105" s="837">
        <f>IFERROR(Indicadores[[#This Row],[Ventas]]/Indicadores[[#This Row],[Activos totales]],0)</f>
        <v>1.2447481017818538</v>
      </c>
    </row>
    <row r="106" spans="1:17" x14ac:dyDescent="0.35">
      <c r="A106" s="13" t="str">
        <f>MID(Indicadores[[#This Row],[CIIU]],2,4)</f>
        <v>2014</v>
      </c>
      <c r="B106" s="13" t="str">
        <f>Indicadores[[#This Row],[CIIU]]&amp;Indicadores[[#This Row],[Año]]</f>
        <v>C20142016</v>
      </c>
      <c r="C106" s="14" t="s">
        <v>2279</v>
      </c>
      <c r="D106" s="14" t="s">
        <v>2451</v>
      </c>
      <c r="E106" s="848">
        <v>2016</v>
      </c>
      <c r="F106" s="856" t="s">
        <v>2461</v>
      </c>
      <c r="G106" s="858" t="s">
        <v>2462</v>
      </c>
      <c r="H106" s="848" t="s">
        <v>2463</v>
      </c>
      <c r="I106" s="693" t="s">
        <v>2462</v>
      </c>
      <c r="J106" s="847">
        <v>2716914</v>
      </c>
      <c r="K106" s="847">
        <v>5898050</v>
      </c>
      <c r="L106" s="841">
        <v>49842522</v>
      </c>
      <c r="M106" s="847">
        <v>46190610</v>
      </c>
      <c r="N106" s="839">
        <f>Indicadores[[#This Row],[Ventas]]/Indicadores[[#This Row],[Activos totales]]</f>
        <v>0.92673099487220967</v>
      </c>
      <c r="O106" s="837">
        <f>IF(Indicadores[[#This Row],[Ventas]]=0,0,Indicadores[[#This Row],[EBITDA]]/Indicadores[[#This Row],[Ventas]])</f>
        <v>0.12768937236377698</v>
      </c>
      <c r="P106" s="837">
        <f>IF(Indicadores[[#This Row],[Ventas]]=0,0,Indicadores[[#This Row],[UAI]]/Indicadores[[#This Row],[Ventas]])</f>
        <v>5.8819617233892341E-2</v>
      </c>
      <c r="Q106" s="837">
        <f>IFERROR(Indicadores[[#This Row],[Ventas]]/Indicadores[[#This Row],[Activos totales]],0)</f>
        <v>0.92673099487220967</v>
      </c>
    </row>
    <row r="107" spans="1:17" x14ac:dyDescent="0.35">
      <c r="A107" s="13" t="str">
        <f>MID(Indicadores[[#This Row],[CIIU]],2,4)</f>
        <v>2021</v>
      </c>
      <c r="B107" s="13" t="str">
        <f>Indicadores[[#This Row],[CIIU]]&amp;Indicadores[[#This Row],[Año]]</f>
        <v>C20212016</v>
      </c>
      <c r="C107" s="14" t="s">
        <v>2279</v>
      </c>
      <c r="D107" s="14" t="s">
        <v>2451</v>
      </c>
      <c r="E107" s="848">
        <v>2016</v>
      </c>
      <c r="F107" s="856" t="s">
        <v>2464</v>
      </c>
      <c r="G107" s="858" t="s">
        <v>2465</v>
      </c>
      <c r="H107" s="848" t="s">
        <v>2466</v>
      </c>
      <c r="I107" s="693" t="s">
        <v>2465</v>
      </c>
      <c r="J107" s="847">
        <v>157254843</v>
      </c>
      <c r="K107" s="847">
        <v>184924645</v>
      </c>
      <c r="L107" s="841">
        <v>1484057305</v>
      </c>
      <c r="M107" s="847">
        <v>1522475609</v>
      </c>
      <c r="N107" s="839">
        <f>Indicadores[[#This Row],[Ventas]]/Indicadores[[#This Row],[Activos totales]]</f>
        <v>1.0258873453677047</v>
      </c>
      <c r="O107" s="837">
        <f>IF(Indicadores[[#This Row],[Ventas]]=0,0,Indicadores[[#This Row],[EBITDA]]/Indicadores[[#This Row],[Ventas]])</f>
        <v>0.12146312486507625</v>
      </c>
      <c r="P107" s="837">
        <f>IF(Indicadores[[#This Row],[Ventas]]=0,0,Indicadores[[#This Row],[UAI]]/Indicadores[[#This Row],[Ventas]])</f>
        <v>0.10328890792758835</v>
      </c>
      <c r="Q107" s="837">
        <f>IFERROR(Indicadores[[#This Row],[Ventas]]/Indicadores[[#This Row],[Activos totales]],0)</f>
        <v>1.0258873453677047</v>
      </c>
    </row>
    <row r="108" spans="1:17" x14ac:dyDescent="0.35">
      <c r="A108" s="13" t="str">
        <f>MID(Indicadores[[#This Row],[CIIU]],2,4)</f>
        <v>2022</v>
      </c>
      <c r="B108" s="13" t="str">
        <f>Indicadores[[#This Row],[CIIU]]&amp;Indicadores[[#This Row],[Año]]</f>
        <v>C20222016</v>
      </c>
      <c r="C108" s="14" t="s">
        <v>2279</v>
      </c>
      <c r="D108" s="14" t="s">
        <v>2451</v>
      </c>
      <c r="E108" s="848">
        <v>2016</v>
      </c>
      <c r="F108" s="856" t="s">
        <v>2467</v>
      </c>
      <c r="G108" s="858" t="s">
        <v>2468</v>
      </c>
      <c r="H108" s="848" t="s">
        <v>2469</v>
      </c>
      <c r="I108" s="693" t="s">
        <v>2468</v>
      </c>
      <c r="J108" s="847">
        <v>37714698</v>
      </c>
      <c r="K108" s="847">
        <v>125573503</v>
      </c>
      <c r="L108" s="841">
        <v>1541861702</v>
      </c>
      <c r="M108" s="847">
        <v>1441555675</v>
      </c>
      <c r="N108" s="839">
        <f>Indicadores[[#This Row],[Ventas]]/Indicadores[[#This Row],[Activos totales]]</f>
        <v>0.93494486122206055</v>
      </c>
      <c r="O108" s="837">
        <f>IF(Indicadores[[#This Row],[Ventas]]=0,0,Indicadores[[#This Row],[EBITDA]]/Indicadores[[#This Row],[Ventas]])</f>
        <v>8.7109714302224223E-2</v>
      </c>
      <c r="P108" s="837">
        <f>IF(Indicadores[[#This Row],[Ventas]]=0,0,Indicadores[[#This Row],[UAI]]/Indicadores[[#This Row],[Ventas]])</f>
        <v>2.616249837176771E-2</v>
      </c>
      <c r="Q108" s="837">
        <f>IFERROR(Indicadores[[#This Row],[Ventas]]/Indicadores[[#This Row],[Activos totales]],0)</f>
        <v>0.93494486122206055</v>
      </c>
    </row>
    <row r="109" spans="1:17" x14ac:dyDescent="0.35">
      <c r="A109" s="13" t="str">
        <f>MID(Indicadores[[#This Row],[CIIU]],2,4)</f>
        <v>2023</v>
      </c>
      <c r="B109" s="13" t="str">
        <f>Indicadores[[#This Row],[CIIU]]&amp;Indicadores[[#This Row],[Año]]</f>
        <v>C20232016</v>
      </c>
      <c r="C109" s="14" t="s">
        <v>2279</v>
      </c>
      <c r="D109" s="14" t="s">
        <v>2451</v>
      </c>
      <c r="E109" s="848">
        <v>2016</v>
      </c>
      <c r="F109" s="856" t="s">
        <v>2470</v>
      </c>
      <c r="G109" s="858" t="s">
        <v>2471</v>
      </c>
      <c r="H109" s="848" t="s">
        <v>2472</v>
      </c>
      <c r="I109" s="693" t="s">
        <v>2471</v>
      </c>
      <c r="J109" s="847">
        <v>401816550</v>
      </c>
      <c r="K109" s="847">
        <v>712513399</v>
      </c>
      <c r="L109" s="841">
        <v>6368492966</v>
      </c>
      <c r="M109" s="847">
        <v>7662765482</v>
      </c>
      <c r="N109" s="839">
        <f>Indicadores[[#This Row],[Ventas]]/Indicadores[[#This Row],[Activos totales]]</f>
        <v>1.2032305794965685</v>
      </c>
      <c r="O109" s="837">
        <f>IF(Indicadores[[#This Row],[Ventas]]=0,0,Indicadores[[#This Row],[EBITDA]]/Indicadores[[#This Row],[Ventas]])</f>
        <v>9.2983845150123576E-2</v>
      </c>
      <c r="P109" s="837">
        <f>IF(Indicadores[[#This Row],[Ventas]]=0,0,Indicadores[[#This Row],[UAI]]/Indicadores[[#This Row],[Ventas]])</f>
        <v>5.2437537197748733E-2</v>
      </c>
      <c r="Q109" s="837">
        <f>IFERROR(Indicadores[[#This Row],[Ventas]]/Indicadores[[#This Row],[Activos totales]],0)</f>
        <v>1.2032305794965685</v>
      </c>
    </row>
    <row r="110" spans="1:17" x14ac:dyDescent="0.35">
      <c r="A110" s="13" t="str">
        <f>MID(Indicadores[[#This Row],[CIIU]],2,4)</f>
        <v>2029</v>
      </c>
      <c r="B110" s="13" t="str">
        <f>Indicadores[[#This Row],[CIIU]]&amp;Indicadores[[#This Row],[Año]]</f>
        <v>C20292016</v>
      </c>
      <c r="C110" s="14" t="s">
        <v>2279</v>
      </c>
      <c r="D110" s="14" t="s">
        <v>2451</v>
      </c>
      <c r="E110" s="848">
        <v>2016</v>
      </c>
      <c r="F110" s="856" t="s">
        <v>2473</v>
      </c>
      <c r="G110" s="858" t="s">
        <v>2474</v>
      </c>
      <c r="H110" s="848" t="s">
        <v>2475</v>
      </c>
      <c r="I110" s="693" t="s">
        <v>2474</v>
      </c>
      <c r="J110" s="847">
        <v>428112364</v>
      </c>
      <c r="K110" s="847">
        <v>573216272</v>
      </c>
      <c r="L110" s="841">
        <v>4097138828</v>
      </c>
      <c r="M110" s="847">
        <v>4269852244</v>
      </c>
      <c r="N110" s="839">
        <f>Indicadores[[#This Row],[Ventas]]/Indicadores[[#This Row],[Activos totales]]</f>
        <v>1.0421546408971232</v>
      </c>
      <c r="O110" s="837">
        <f>IF(Indicadores[[#This Row],[Ventas]]=0,0,Indicadores[[#This Row],[EBITDA]]/Indicadores[[#This Row],[Ventas]])</f>
        <v>0.13424733204889794</v>
      </c>
      <c r="P110" s="837">
        <f>IF(Indicadores[[#This Row],[Ventas]]=0,0,Indicadores[[#This Row],[UAI]]/Indicadores[[#This Row],[Ventas]])</f>
        <v>0.10026397625388182</v>
      </c>
      <c r="Q110" s="837">
        <f>IFERROR(Indicadores[[#This Row],[Ventas]]/Indicadores[[#This Row],[Activos totales]],0)</f>
        <v>1.0421546408971232</v>
      </c>
    </row>
    <row r="111" spans="1:17" x14ac:dyDescent="0.35">
      <c r="A111" s="13" t="str">
        <f>MID(Indicadores[[#This Row],[CIIU]],2,4)</f>
        <v>2030</v>
      </c>
      <c r="B111" s="13" t="str">
        <f>Indicadores[[#This Row],[CIIU]]&amp;Indicadores[[#This Row],[Año]]</f>
        <v>C20302016</v>
      </c>
      <c r="C111" s="14" t="s">
        <v>2279</v>
      </c>
      <c r="D111" s="14" t="s">
        <v>2451</v>
      </c>
      <c r="E111" s="848">
        <v>2016</v>
      </c>
      <c r="F111" s="856" t="s">
        <v>2476</v>
      </c>
      <c r="G111" s="858" t="s">
        <v>2477</v>
      </c>
      <c r="H111" s="848" t="s">
        <v>2478</v>
      </c>
      <c r="I111" s="693" t="s">
        <v>2477</v>
      </c>
      <c r="J111" s="847">
        <v>-35300</v>
      </c>
      <c r="K111" s="847">
        <v>4152859</v>
      </c>
      <c r="L111" s="841">
        <v>87578452</v>
      </c>
      <c r="M111" s="847">
        <v>51327244</v>
      </c>
      <c r="N111" s="839">
        <f>Indicadores[[#This Row],[Ventas]]/Indicadores[[#This Row],[Activos totales]]</f>
        <v>0.58607160583290507</v>
      </c>
      <c r="O111" s="837">
        <f>IF(Indicadores[[#This Row],[Ventas]]=0,0,Indicadores[[#This Row],[EBITDA]]/Indicadores[[#This Row],[Ventas]])</f>
        <v>8.0909448401320749E-2</v>
      </c>
      <c r="P111" s="837">
        <f>IF(Indicadores[[#This Row],[Ventas]]=0,0,Indicadores[[#This Row],[UAI]]/Indicadores[[#This Row],[Ventas]])</f>
        <v>-6.8774392016840023E-4</v>
      </c>
      <c r="Q111" s="837">
        <f>IFERROR(Indicadores[[#This Row],[Ventas]]/Indicadores[[#This Row],[Activos totales]],0)</f>
        <v>0.58607160583290507</v>
      </c>
    </row>
    <row r="112" spans="1:17" x14ac:dyDescent="0.35">
      <c r="A112" s="13" t="str">
        <f>MID(Indicadores[[#This Row],[CIIU]],2,4)</f>
        <v>2100</v>
      </c>
      <c r="B112" s="13" t="str">
        <f>Indicadores[[#This Row],[CIIU]]&amp;Indicadores[[#This Row],[Año]]</f>
        <v>C21002016</v>
      </c>
      <c r="C112" s="14" t="s">
        <v>2279</v>
      </c>
      <c r="D112" s="14" t="s">
        <v>2479</v>
      </c>
      <c r="E112" s="848">
        <v>2016</v>
      </c>
      <c r="F112" s="856" t="s">
        <v>2480</v>
      </c>
      <c r="G112" s="858" t="s">
        <v>2481</v>
      </c>
      <c r="H112" s="848" t="s">
        <v>2482</v>
      </c>
      <c r="I112" s="693" t="s">
        <v>2481</v>
      </c>
      <c r="J112" s="847">
        <v>553729194</v>
      </c>
      <c r="K112" s="847">
        <v>884804304</v>
      </c>
      <c r="L112" s="841">
        <v>7952738686</v>
      </c>
      <c r="M112" s="847">
        <v>7221429147</v>
      </c>
      <c r="N112" s="839">
        <f>Indicadores[[#This Row],[Ventas]]/Indicadores[[#This Row],[Activos totales]]</f>
        <v>0.90804305687958831</v>
      </c>
      <c r="O112" s="837">
        <f>IF(Indicadores[[#This Row],[Ventas]]=0,0,Indicadores[[#This Row],[EBITDA]]/Indicadores[[#This Row],[Ventas]])</f>
        <v>0.12252481967057371</v>
      </c>
      <c r="P112" s="837">
        <f>IF(Indicadores[[#This Row],[Ventas]]=0,0,Indicadores[[#This Row],[UAI]]/Indicadores[[#This Row],[Ventas]])</f>
        <v>7.6678616203004063E-2</v>
      </c>
      <c r="Q112" s="837">
        <f>IFERROR(Indicadores[[#This Row],[Ventas]]/Indicadores[[#This Row],[Activos totales]],0)</f>
        <v>0.90804305687958831</v>
      </c>
    </row>
    <row r="113" spans="1:17" x14ac:dyDescent="0.35">
      <c r="A113" s="13" t="str">
        <f>MID(Indicadores[[#This Row],[CIIU]],2,4)</f>
        <v>2211</v>
      </c>
      <c r="B113" s="13" t="str">
        <f>Indicadores[[#This Row],[CIIU]]&amp;Indicadores[[#This Row],[Año]]</f>
        <v>C22112016</v>
      </c>
      <c r="C113" s="14" t="s">
        <v>2279</v>
      </c>
      <c r="D113" s="14" t="s">
        <v>2483</v>
      </c>
      <c r="E113" s="848">
        <v>2016</v>
      </c>
      <c r="F113" s="856" t="s">
        <v>2484</v>
      </c>
      <c r="G113" s="857" t="s">
        <v>2485</v>
      </c>
      <c r="H113" s="848" t="s">
        <v>2486</v>
      </c>
      <c r="I113" s="693" t="s">
        <v>2485</v>
      </c>
      <c r="J113" s="847">
        <v>828897</v>
      </c>
      <c r="K113" s="847">
        <v>1959236</v>
      </c>
      <c r="L113" s="841">
        <v>13329783</v>
      </c>
      <c r="M113" s="847">
        <v>16386855</v>
      </c>
      <c r="N113" s="839">
        <f>Indicadores[[#This Row],[Ventas]]/Indicadores[[#This Row],[Activos totales]]</f>
        <v>1.2293414678993648</v>
      </c>
      <c r="O113" s="837">
        <f>IF(Indicadores[[#This Row],[Ventas]]=0,0,Indicadores[[#This Row],[EBITDA]]/Indicadores[[#This Row],[Ventas]])</f>
        <v>0.11956144116732588</v>
      </c>
      <c r="P113" s="837">
        <f>IF(Indicadores[[#This Row],[Ventas]]=0,0,Indicadores[[#This Row],[UAI]]/Indicadores[[#This Row],[Ventas]])</f>
        <v>5.0583043543132589E-2</v>
      </c>
      <c r="Q113" s="837">
        <f>IFERROR(Indicadores[[#This Row],[Ventas]]/Indicadores[[#This Row],[Activos totales]],0)</f>
        <v>1.2293414678993648</v>
      </c>
    </row>
    <row r="114" spans="1:17" x14ac:dyDescent="0.35">
      <c r="A114" s="13" t="str">
        <f>MID(Indicadores[[#This Row],[CIIU]],2,4)</f>
        <v>2212</v>
      </c>
      <c r="B114" s="13" t="str">
        <f>Indicadores[[#This Row],[CIIU]]&amp;Indicadores[[#This Row],[Año]]</f>
        <v>C22122016</v>
      </c>
      <c r="C114" s="14" t="s">
        <v>2279</v>
      </c>
      <c r="D114" s="14" t="s">
        <v>2483</v>
      </c>
      <c r="E114" s="848">
        <v>2016</v>
      </c>
      <c r="F114" s="856" t="s">
        <v>2487</v>
      </c>
      <c r="G114" s="858" t="s">
        <v>2488</v>
      </c>
      <c r="H114" s="848" t="s">
        <v>2489</v>
      </c>
      <c r="I114" s="693" t="s">
        <v>2488</v>
      </c>
      <c r="J114" s="847">
        <v>-38983</v>
      </c>
      <c r="K114" s="847">
        <v>4144804</v>
      </c>
      <c r="L114" s="841">
        <v>73204552</v>
      </c>
      <c r="M114" s="847">
        <v>83434886</v>
      </c>
      <c r="N114" s="839">
        <f>Indicadores[[#This Row],[Ventas]]/Indicadores[[#This Row],[Activos totales]]</f>
        <v>1.1397499707395244</v>
      </c>
      <c r="O114" s="837">
        <f>IF(Indicadores[[#This Row],[Ventas]]=0,0,Indicadores[[#This Row],[EBITDA]]/Indicadores[[#This Row],[Ventas]])</f>
        <v>4.9677109884227563E-2</v>
      </c>
      <c r="P114" s="837">
        <f>IF(Indicadores[[#This Row],[Ventas]]=0,0,Indicadores[[#This Row],[UAI]]/Indicadores[[#This Row],[Ventas]])</f>
        <v>-4.6722662268634249E-4</v>
      </c>
      <c r="Q114" s="837">
        <f>IFERROR(Indicadores[[#This Row],[Ventas]]/Indicadores[[#This Row],[Activos totales]],0)</f>
        <v>1.1397499707395244</v>
      </c>
    </row>
    <row r="115" spans="1:17" x14ac:dyDescent="0.35">
      <c r="A115" s="13" t="str">
        <f>MID(Indicadores[[#This Row],[CIIU]],2,4)</f>
        <v>2219</v>
      </c>
      <c r="B115" s="13" t="str">
        <f>Indicadores[[#This Row],[CIIU]]&amp;Indicadores[[#This Row],[Año]]</f>
        <v>C22192016</v>
      </c>
      <c r="C115" s="14" t="s">
        <v>2279</v>
      </c>
      <c r="D115" s="14" t="s">
        <v>2483</v>
      </c>
      <c r="E115" s="848">
        <v>2016</v>
      </c>
      <c r="F115" s="856" t="s">
        <v>2490</v>
      </c>
      <c r="G115" s="858" t="s">
        <v>2491</v>
      </c>
      <c r="H115" s="848" t="s">
        <v>2492</v>
      </c>
      <c r="I115" s="693" t="s">
        <v>2491</v>
      </c>
      <c r="J115" s="847">
        <v>28572992</v>
      </c>
      <c r="K115" s="847">
        <v>52078606</v>
      </c>
      <c r="L115" s="841">
        <v>458513220</v>
      </c>
      <c r="M115" s="847">
        <v>426024526</v>
      </c>
      <c r="N115" s="839">
        <f>Indicadores[[#This Row],[Ventas]]/Indicadores[[#This Row],[Activos totales]]</f>
        <v>0.9291433865309271</v>
      </c>
      <c r="O115" s="837">
        <f>IF(Indicadores[[#This Row],[Ventas]]=0,0,Indicadores[[#This Row],[EBITDA]]/Indicadores[[#This Row],[Ventas]])</f>
        <v>0.12224321094602897</v>
      </c>
      <c r="P115" s="837">
        <f>IF(Indicadores[[#This Row],[Ventas]]=0,0,Indicadores[[#This Row],[UAI]]/Indicadores[[#This Row],[Ventas]])</f>
        <v>6.7068889831943618E-2</v>
      </c>
      <c r="Q115" s="837">
        <f>IFERROR(Indicadores[[#This Row],[Ventas]]/Indicadores[[#This Row],[Activos totales]],0)</f>
        <v>0.9291433865309271</v>
      </c>
    </row>
    <row r="116" spans="1:17" x14ac:dyDescent="0.35">
      <c r="A116" s="13" t="str">
        <f>MID(Indicadores[[#This Row],[CIIU]],2,4)</f>
        <v>2221</v>
      </c>
      <c r="B116" s="13" t="str">
        <f>Indicadores[[#This Row],[CIIU]]&amp;Indicadores[[#This Row],[Año]]</f>
        <v>C22212016</v>
      </c>
      <c r="C116" s="14" t="s">
        <v>2279</v>
      </c>
      <c r="D116" s="14" t="s">
        <v>2483</v>
      </c>
      <c r="E116" s="848">
        <v>2016</v>
      </c>
      <c r="F116" s="856" t="s">
        <v>7</v>
      </c>
      <c r="G116" s="858" t="s">
        <v>2493</v>
      </c>
      <c r="H116" s="848" t="s">
        <v>2494</v>
      </c>
      <c r="I116" s="693" t="s">
        <v>2493</v>
      </c>
      <c r="J116" s="847">
        <v>133347635</v>
      </c>
      <c r="K116" s="847">
        <v>303201585</v>
      </c>
      <c r="L116" s="841">
        <v>3208335596</v>
      </c>
      <c r="M116" s="847">
        <v>2624406163</v>
      </c>
      <c r="N116" s="839">
        <f>Indicadores[[#This Row],[Ventas]]/Indicadores[[#This Row],[Activos totales]]</f>
        <v>0.81799614924074171</v>
      </c>
      <c r="O116" s="837">
        <f>IF(Indicadores[[#This Row],[Ventas]]=0,0,Indicadores[[#This Row],[EBITDA]]/Indicadores[[#This Row],[Ventas]])</f>
        <v>0.11553150166870721</v>
      </c>
      <c r="P116" s="837">
        <f>IF(Indicadores[[#This Row],[Ventas]]=0,0,Indicadores[[#This Row],[UAI]]/Indicadores[[#This Row],[Ventas]])</f>
        <v>5.0810593603990102E-2</v>
      </c>
      <c r="Q116" s="837">
        <f>IFERROR(Indicadores[[#This Row],[Ventas]]/Indicadores[[#This Row],[Activos totales]],0)</f>
        <v>0.81799614924074171</v>
      </c>
    </row>
    <row r="117" spans="1:17" x14ac:dyDescent="0.35">
      <c r="A117" s="13" t="str">
        <f>MID(Indicadores[[#This Row],[CIIU]],2,4)</f>
        <v>2229</v>
      </c>
      <c r="B117" s="13" t="str">
        <f>Indicadores[[#This Row],[CIIU]]&amp;Indicadores[[#This Row],[Año]]</f>
        <v>C22292016</v>
      </c>
      <c r="C117" s="14" t="s">
        <v>2279</v>
      </c>
      <c r="D117" s="14" t="s">
        <v>2483</v>
      </c>
      <c r="E117" s="848">
        <v>2016</v>
      </c>
      <c r="F117" s="856" t="s">
        <v>2495</v>
      </c>
      <c r="G117" s="858" t="s">
        <v>2496</v>
      </c>
      <c r="H117" s="848" t="s">
        <v>2497</v>
      </c>
      <c r="I117" s="693" t="s">
        <v>2496</v>
      </c>
      <c r="J117" s="847">
        <v>537151798</v>
      </c>
      <c r="K117" s="847">
        <v>926754273</v>
      </c>
      <c r="L117" s="841">
        <v>7232981648</v>
      </c>
      <c r="M117" s="847">
        <v>6251021871</v>
      </c>
      <c r="N117" s="839">
        <f>Indicadores[[#This Row],[Ventas]]/Indicadores[[#This Row],[Activos totales]]</f>
        <v>0.86423859138761638</v>
      </c>
      <c r="O117" s="837">
        <f>IF(Indicadores[[#This Row],[Ventas]]=0,0,Indicadores[[#This Row],[EBITDA]]/Indicadores[[#This Row],[Ventas]])</f>
        <v>0.14825644384631526</v>
      </c>
      <c r="P117" s="837">
        <f>IF(Indicadores[[#This Row],[Ventas]]=0,0,Indicadores[[#This Row],[UAI]]/Indicadores[[#This Row],[Ventas]])</f>
        <v>8.5930238141059295E-2</v>
      </c>
      <c r="Q117" s="837">
        <f>IFERROR(Indicadores[[#This Row],[Ventas]]/Indicadores[[#This Row],[Activos totales]],0)</f>
        <v>0.86423859138761638</v>
      </c>
    </row>
    <row r="118" spans="1:17" x14ac:dyDescent="0.35">
      <c r="A118" s="13" t="str">
        <f>MID(Indicadores[[#This Row],[CIIU]],2,4)</f>
        <v>2310</v>
      </c>
      <c r="B118" s="13" t="str">
        <f>Indicadores[[#This Row],[CIIU]]&amp;Indicadores[[#This Row],[Año]]</f>
        <v>C23102016</v>
      </c>
      <c r="C118" s="14" t="s">
        <v>2279</v>
      </c>
      <c r="D118" s="14" t="s">
        <v>2498</v>
      </c>
      <c r="E118" s="848">
        <v>2016</v>
      </c>
      <c r="F118" s="856" t="s">
        <v>2499</v>
      </c>
      <c r="G118" s="858" t="s">
        <v>2500</v>
      </c>
      <c r="H118" s="848" t="s">
        <v>2501</v>
      </c>
      <c r="I118" s="693" t="s">
        <v>2500</v>
      </c>
      <c r="J118" s="847">
        <v>404662982</v>
      </c>
      <c r="K118" s="847">
        <v>465319362</v>
      </c>
      <c r="L118" s="841">
        <v>2966944472</v>
      </c>
      <c r="M118" s="847">
        <v>2295009490</v>
      </c>
      <c r="N118" s="839">
        <f>Indicadores[[#This Row],[Ventas]]/Indicadores[[#This Row],[Activos totales]]</f>
        <v>0.77352626975622074</v>
      </c>
      <c r="O118" s="837">
        <f>IF(Indicadores[[#This Row],[Ventas]]=0,0,Indicadores[[#This Row],[EBITDA]]/Indicadores[[#This Row],[Ventas]])</f>
        <v>0.20275269624266345</v>
      </c>
      <c r="P118" s="837">
        <f>IF(Indicadores[[#This Row],[Ventas]]=0,0,Indicadores[[#This Row],[UAI]]/Indicadores[[#This Row],[Ventas]])</f>
        <v>0.17632301032445841</v>
      </c>
      <c r="Q118" s="837">
        <f>IFERROR(Indicadores[[#This Row],[Ventas]]/Indicadores[[#This Row],[Activos totales]],0)</f>
        <v>0.77352626975622074</v>
      </c>
    </row>
    <row r="119" spans="1:17" x14ac:dyDescent="0.35">
      <c r="A119" s="13" t="str">
        <f>MID(Indicadores[[#This Row],[CIIU]],2,4)</f>
        <v>2391</v>
      </c>
      <c r="B119" s="13" t="str">
        <f>Indicadores[[#This Row],[CIIU]]&amp;Indicadores[[#This Row],[Año]]</f>
        <v>C23912016</v>
      </c>
      <c r="C119" s="14" t="s">
        <v>2279</v>
      </c>
      <c r="D119" s="14" t="s">
        <v>2498</v>
      </c>
      <c r="E119" s="848">
        <v>2016</v>
      </c>
      <c r="F119" s="856" t="s">
        <v>2502</v>
      </c>
      <c r="G119" s="858" t="s">
        <v>2503</v>
      </c>
      <c r="H119" s="848" t="s">
        <v>2504</v>
      </c>
      <c r="I119" s="693" t="s">
        <v>2503</v>
      </c>
      <c r="J119" s="847">
        <v>10681963</v>
      </c>
      <c r="K119" s="847">
        <v>11416849</v>
      </c>
      <c r="L119" s="841">
        <v>97087967</v>
      </c>
      <c r="M119" s="847">
        <v>63811571</v>
      </c>
      <c r="N119" s="839">
        <f>Indicadores[[#This Row],[Ventas]]/Indicadores[[#This Row],[Activos totales]]</f>
        <v>0.65725519826777301</v>
      </c>
      <c r="O119" s="837">
        <f>IF(Indicadores[[#This Row],[Ventas]]=0,0,Indicadores[[#This Row],[EBITDA]]/Indicadores[[#This Row],[Ventas]])</f>
        <v>0.17891502780898466</v>
      </c>
      <c r="P119" s="837">
        <f>IF(Indicadores[[#This Row],[Ventas]]=0,0,Indicadores[[#This Row],[UAI]]/Indicadores[[#This Row],[Ventas]])</f>
        <v>0.16739852714173109</v>
      </c>
      <c r="Q119" s="837">
        <f>IFERROR(Indicadores[[#This Row],[Ventas]]/Indicadores[[#This Row],[Activos totales]],0)</f>
        <v>0.65725519826777301</v>
      </c>
    </row>
    <row r="120" spans="1:17" x14ac:dyDescent="0.35">
      <c r="A120" s="13" t="str">
        <f>MID(Indicadores[[#This Row],[CIIU]],2,4)</f>
        <v>2392</v>
      </c>
      <c r="B120" s="13" t="str">
        <f>Indicadores[[#This Row],[CIIU]]&amp;Indicadores[[#This Row],[Año]]</f>
        <v>C23922016</v>
      </c>
      <c r="C120" s="14" t="s">
        <v>2279</v>
      </c>
      <c r="D120" s="14" t="s">
        <v>2498</v>
      </c>
      <c r="E120" s="848">
        <v>2016</v>
      </c>
      <c r="F120" s="856" t="s">
        <v>2505</v>
      </c>
      <c r="G120" s="858" t="s">
        <v>2506</v>
      </c>
      <c r="H120" s="848" t="s">
        <v>2507</v>
      </c>
      <c r="I120" s="693" t="s">
        <v>2506</v>
      </c>
      <c r="J120" s="847">
        <v>81566937</v>
      </c>
      <c r="K120" s="847">
        <v>215468648</v>
      </c>
      <c r="L120" s="841">
        <v>2314119813</v>
      </c>
      <c r="M120" s="847">
        <v>1434086522</v>
      </c>
      <c r="N120" s="839">
        <f>Indicadores[[#This Row],[Ventas]]/Indicadores[[#This Row],[Activos totales]]</f>
        <v>0.61971144015264523</v>
      </c>
      <c r="O120" s="837">
        <f>IF(Indicadores[[#This Row],[Ventas]]=0,0,Indicadores[[#This Row],[EBITDA]]/Indicadores[[#This Row],[Ventas]])</f>
        <v>0.15024801132605581</v>
      </c>
      <c r="P120" s="837">
        <f>IF(Indicadores[[#This Row],[Ventas]]=0,0,Indicadores[[#This Row],[UAI]]/Indicadores[[#This Row],[Ventas]])</f>
        <v>5.6877277450627907E-2</v>
      </c>
      <c r="Q120" s="837">
        <f>IFERROR(Indicadores[[#This Row],[Ventas]]/Indicadores[[#This Row],[Activos totales]],0)</f>
        <v>0.61971144015264523</v>
      </c>
    </row>
    <row r="121" spans="1:17" x14ac:dyDescent="0.35">
      <c r="A121" s="13" t="str">
        <f>MID(Indicadores[[#This Row],[CIIU]],2,4)</f>
        <v>2393</v>
      </c>
      <c r="B121" s="13" t="str">
        <f>Indicadores[[#This Row],[CIIU]]&amp;Indicadores[[#This Row],[Año]]</f>
        <v>C23932016</v>
      </c>
      <c r="C121" s="14" t="s">
        <v>2279</v>
      </c>
      <c r="D121" s="14" t="s">
        <v>2498</v>
      </c>
      <c r="E121" s="848">
        <v>2016</v>
      </c>
      <c r="F121" s="856" t="s">
        <v>2508</v>
      </c>
      <c r="G121" s="857" t="s">
        <v>2509</v>
      </c>
      <c r="H121" s="848" t="s">
        <v>2510</v>
      </c>
      <c r="I121" s="693" t="s">
        <v>2509</v>
      </c>
      <c r="J121" s="847">
        <v>47096676</v>
      </c>
      <c r="K121" s="847">
        <v>123210328</v>
      </c>
      <c r="L121" s="841">
        <v>1500167280</v>
      </c>
      <c r="M121" s="847">
        <v>1352370707</v>
      </c>
      <c r="N121" s="839">
        <f>Indicadores[[#This Row],[Ventas]]/Indicadores[[#This Row],[Activos totales]]</f>
        <v>0.90147993829061512</v>
      </c>
      <c r="O121" s="837">
        <f>IF(Indicadores[[#This Row],[Ventas]]=0,0,Indicadores[[#This Row],[EBITDA]]/Indicadores[[#This Row],[Ventas]])</f>
        <v>9.1106918659396838E-2</v>
      </c>
      <c r="P121" s="837">
        <f>IF(Indicadores[[#This Row],[Ventas]]=0,0,Indicadores[[#This Row],[UAI]]/Indicadores[[#This Row],[Ventas]])</f>
        <v>3.4825270731037805E-2</v>
      </c>
      <c r="Q121" s="837">
        <f>IFERROR(Indicadores[[#This Row],[Ventas]]/Indicadores[[#This Row],[Activos totales]],0)</f>
        <v>0.90147993829061512</v>
      </c>
    </row>
    <row r="122" spans="1:17" x14ac:dyDescent="0.35">
      <c r="A122" s="13" t="str">
        <f>MID(Indicadores[[#This Row],[CIIU]],2,4)</f>
        <v>2394</v>
      </c>
      <c r="B122" s="13" t="str">
        <f>Indicadores[[#This Row],[CIIU]]&amp;Indicadores[[#This Row],[Año]]</f>
        <v>C23942016</v>
      </c>
      <c r="C122" s="14" t="s">
        <v>2279</v>
      </c>
      <c r="D122" s="14" t="s">
        <v>2498</v>
      </c>
      <c r="E122" s="848">
        <v>2016</v>
      </c>
      <c r="F122" s="856" t="s">
        <v>2511</v>
      </c>
      <c r="G122" s="858" t="s">
        <v>2512</v>
      </c>
      <c r="H122" s="848" t="s">
        <v>2513</v>
      </c>
      <c r="I122" s="693" t="s">
        <v>2512</v>
      </c>
      <c r="J122" s="847">
        <v>427508094</v>
      </c>
      <c r="K122" s="847">
        <v>605594992</v>
      </c>
      <c r="L122" s="841">
        <v>3860192787</v>
      </c>
      <c r="M122" s="847">
        <v>2136678713</v>
      </c>
      <c r="N122" s="839">
        <f>Indicadores[[#This Row],[Ventas]]/Indicadores[[#This Row],[Activos totales]]</f>
        <v>0.5535160627717115</v>
      </c>
      <c r="O122" s="837">
        <f>IF(Indicadores[[#This Row],[Ventas]]=0,0,Indicadores[[#This Row],[EBITDA]]/Indicadores[[#This Row],[Ventas]])</f>
        <v>0.28342819550521725</v>
      </c>
      <c r="P122" s="837">
        <f>IF(Indicadores[[#This Row],[Ventas]]=0,0,Indicadores[[#This Row],[UAI]]/Indicadores[[#This Row],[Ventas]])</f>
        <v>0.20008066322697529</v>
      </c>
      <c r="Q122" s="837">
        <f>IFERROR(Indicadores[[#This Row],[Ventas]]/Indicadores[[#This Row],[Activos totales]],0)</f>
        <v>0.5535160627717115</v>
      </c>
    </row>
    <row r="123" spans="1:17" x14ac:dyDescent="0.35">
      <c r="A123" s="13" t="str">
        <f>MID(Indicadores[[#This Row],[CIIU]],2,4)</f>
        <v>2395</v>
      </c>
      <c r="B123" s="13" t="str">
        <f>Indicadores[[#This Row],[CIIU]]&amp;Indicadores[[#This Row],[Año]]</f>
        <v>C23952016</v>
      </c>
      <c r="C123" s="14" t="s">
        <v>2279</v>
      </c>
      <c r="D123" s="14" t="s">
        <v>2498</v>
      </c>
      <c r="E123" s="848">
        <v>2016</v>
      </c>
      <c r="F123" s="856" t="s">
        <v>2514</v>
      </c>
      <c r="G123" s="858" t="s">
        <v>2515</v>
      </c>
      <c r="H123" s="848" t="s">
        <v>2516</v>
      </c>
      <c r="I123" s="693" t="s">
        <v>2515</v>
      </c>
      <c r="J123" s="847">
        <v>152020599</v>
      </c>
      <c r="K123" s="847">
        <v>229342564</v>
      </c>
      <c r="L123" s="841">
        <v>1963402050</v>
      </c>
      <c r="M123" s="847">
        <v>2227044172</v>
      </c>
      <c r="N123" s="839">
        <f>Indicadores[[#This Row],[Ventas]]/Indicadores[[#This Row],[Activos totales]]</f>
        <v>1.1342782146937251</v>
      </c>
      <c r="O123" s="837">
        <f>IF(Indicadores[[#This Row],[Ventas]]=0,0,Indicadores[[#This Row],[EBITDA]]/Indicadores[[#This Row],[Ventas]])</f>
        <v>0.10298069831010069</v>
      </c>
      <c r="P123" s="837">
        <f>IF(Indicadores[[#This Row],[Ventas]]=0,0,Indicadores[[#This Row],[UAI]]/Indicadores[[#This Row],[Ventas]])</f>
        <v>6.8261151220668295E-2</v>
      </c>
      <c r="Q123" s="837">
        <f>IFERROR(Indicadores[[#This Row],[Ventas]]/Indicadores[[#This Row],[Activos totales]],0)</f>
        <v>1.1342782146937251</v>
      </c>
    </row>
    <row r="124" spans="1:17" x14ac:dyDescent="0.35">
      <c r="A124" s="13" t="str">
        <f>MID(Indicadores[[#This Row],[CIIU]],2,4)</f>
        <v>2396</v>
      </c>
      <c r="B124" s="13" t="str">
        <f>Indicadores[[#This Row],[CIIU]]&amp;Indicadores[[#This Row],[Año]]</f>
        <v>C23962016</v>
      </c>
      <c r="C124" s="14" t="s">
        <v>2279</v>
      </c>
      <c r="D124" s="14" t="s">
        <v>2498</v>
      </c>
      <c r="E124" s="848">
        <v>2016</v>
      </c>
      <c r="F124" s="856" t="s">
        <v>2517</v>
      </c>
      <c r="G124" s="857" t="s">
        <v>2518</v>
      </c>
      <c r="H124" s="848" t="s">
        <v>2519</v>
      </c>
      <c r="I124" s="693" t="s">
        <v>2518</v>
      </c>
      <c r="J124" s="847">
        <v>3224272</v>
      </c>
      <c r="K124" s="847">
        <v>5692757</v>
      </c>
      <c r="L124" s="841">
        <v>42405632</v>
      </c>
      <c r="M124" s="847">
        <v>43942639</v>
      </c>
      <c r="N124" s="839">
        <f>Indicadores[[#This Row],[Ventas]]/Indicadores[[#This Row],[Activos totales]]</f>
        <v>1.0362453506175784</v>
      </c>
      <c r="O124" s="837">
        <f>IF(Indicadores[[#This Row],[Ventas]]=0,0,Indicadores[[#This Row],[EBITDA]]/Indicadores[[#This Row],[Ventas]])</f>
        <v>0.12954972959179806</v>
      </c>
      <c r="P124" s="837">
        <f>IF(Indicadores[[#This Row],[Ventas]]=0,0,Indicadores[[#This Row],[UAI]]/Indicadores[[#This Row],[Ventas]])</f>
        <v>7.3374564508972714E-2</v>
      </c>
      <c r="Q124" s="837">
        <f>IFERROR(Indicadores[[#This Row],[Ventas]]/Indicadores[[#This Row],[Activos totales]],0)</f>
        <v>1.0362453506175784</v>
      </c>
    </row>
    <row r="125" spans="1:17" x14ac:dyDescent="0.35">
      <c r="A125" s="13" t="str">
        <f>MID(Indicadores[[#This Row],[CIIU]],2,4)</f>
        <v>2399</v>
      </c>
      <c r="B125" s="13" t="str">
        <f>Indicadores[[#This Row],[CIIU]]&amp;Indicadores[[#This Row],[Año]]</f>
        <v>C23992016</v>
      </c>
      <c r="C125" s="14" t="s">
        <v>2279</v>
      </c>
      <c r="D125" s="14" t="s">
        <v>2498</v>
      </c>
      <c r="E125" s="848">
        <v>2016</v>
      </c>
      <c r="F125" s="856" t="s">
        <v>2520</v>
      </c>
      <c r="G125" s="858" t="s">
        <v>2521</v>
      </c>
      <c r="H125" s="848" t="s">
        <v>2522</v>
      </c>
      <c r="I125" s="693" t="s">
        <v>2521</v>
      </c>
      <c r="J125" s="847">
        <v>4880258</v>
      </c>
      <c r="K125" s="847">
        <v>36194158</v>
      </c>
      <c r="L125" s="841">
        <v>462651663</v>
      </c>
      <c r="M125" s="847">
        <v>307845874</v>
      </c>
      <c r="N125" s="839">
        <f>Indicadores[[#This Row],[Ventas]]/Indicadores[[#This Row],[Activos totales]]</f>
        <v>0.66539450437466596</v>
      </c>
      <c r="O125" s="837">
        <f>IF(Indicadores[[#This Row],[Ventas]]=0,0,Indicadores[[#This Row],[EBITDA]]/Indicadores[[#This Row],[Ventas]])</f>
        <v>0.11757233426490556</v>
      </c>
      <c r="P125" s="837">
        <f>IF(Indicadores[[#This Row],[Ventas]]=0,0,Indicadores[[#This Row],[UAI]]/Indicadores[[#This Row],[Ventas]])</f>
        <v>1.5852926455009107E-2</v>
      </c>
      <c r="Q125" s="837">
        <f>IFERROR(Indicadores[[#This Row],[Ventas]]/Indicadores[[#This Row],[Activos totales]],0)</f>
        <v>0.66539450437466596</v>
      </c>
    </row>
    <row r="126" spans="1:17" x14ac:dyDescent="0.35">
      <c r="A126" s="13" t="str">
        <f>MID(Indicadores[[#This Row],[CIIU]],2,4)</f>
        <v>2410</v>
      </c>
      <c r="B126" s="13" t="str">
        <f>Indicadores[[#This Row],[CIIU]]&amp;Indicadores[[#This Row],[Año]]</f>
        <v>C24102016</v>
      </c>
      <c r="C126" s="14" t="s">
        <v>2279</v>
      </c>
      <c r="D126" s="14" t="s">
        <v>2523</v>
      </c>
      <c r="E126" s="848">
        <v>2016</v>
      </c>
      <c r="F126" s="856" t="s">
        <v>2524</v>
      </c>
      <c r="G126" s="858" t="s">
        <v>2525</v>
      </c>
      <c r="H126" s="848" t="s">
        <v>2526</v>
      </c>
      <c r="I126" s="693" t="s">
        <v>2525</v>
      </c>
      <c r="J126" s="847">
        <v>-51858300</v>
      </c>
      <c r="K126" s="847">
        <v>139175505</v>
      </c>
      <c r="L126" s="841">
        <v>3824815854</v>
      </c>
      <c r="M126" s="847">
        <v>3472306022</v>
      </c>
      <c r="N126" s="839">
        <f>Indicadores[[#This Row],[Ventas]]/Indicadores[[#This Row],[Activos totales]]</f>
        <v>0.90783612977567418</v>
      </c>
      <c r="O126" s="837">
        <f>IF(Indicadores[[#This Row],[Ventas]]=0,0,Indicadores[[#This Row],[EBITDA]]/Indicadores[[#This Row],[Ventas]])</f>
        <v>4.0081578097726778E-2</v>
      </c>
      <c r="P126" s="837">
        <f>IF(Indicadores[[#This Row],[Ventas]]=0,0,Indicadores[[#This Row],[UAI]]/Indicadores[[#This Row],[Ventas]])</f>
        <v>-1.4934829957795695E-2</v>
      </c>
      <c r="Q126" s="837">
        <f>IFERROR(Indicadores[[#This Row],[Ventas]]/Indicadores[[#This Row],[Activos totales]],0)</f>
        <v>0.90783612977567418</v>
      </c>
    </row>
    <row r="127" spans="1:17" x14ac:dyDescent="0.35">
      <c r="A127" s="13" t="str">
        <f>MID(Indicadores[[#This Row],[CIIU]],2,4)</f>
        <v>2421</v>
      </c>
      <c r="B127" s="13" t="str">
        <f>Indicadores[[#This Row],[CIIU]]&amp;Indicadores[[#This Row],[Año]]</f>
        <v>C24212016</v>
      </c>
      <c r="C127" s="14" t="s">
        <v>2279</v>
      </c>
      <c r="D127" s="14" t="s">
        <v>2523</v>
      </c>
      <c r="E127" s="848">
        <v>2016</v>
      </c>
      <c r="F127" s="856" t="s">
        <v>2527</v>
      </c>
      <c r="G127" s="858" t="s">
        <v>2528</v>
      </c>
      <c r="H127" s="848" t="s">
        <v>2529</v>
      </c>
      <c r="I127" s="693" t="s">
        <v>2528</v>
      </c>
      <c r="J127" s="847">
        <v>2997133</v>
      </c>
      <c r="K127" s="847">
        <v>6963905</v>
      </c>
      <c r="L127" s="841">
        <v>65739223</v>
      </c>
      <c r="M127" s="847">
        <v>419883442</v>
      </c>
      <c r="N127" s="839">
        <f>Indicadores[[#This Row],[Ventas]]/Indicadores[[#This Row],[Activos totales]]</f>
        <v>6.3871068570433209</v>
      </c>
      <c r="O127" s="837">
        <f>IF(Indicadores[[#This Row],[Ventas]]=0,0,Indicadores[[#This Row],[EBITDA]]/Indicadores[[#This Row],[Ventas]])</f>
        <v>1.6585328935166725E-2</v>
      </c>
      <c r="P127" s="837">
        <f>IF(Indicadores[[#This Row],[Ventas]]=0,0,Indicadores[[#This Row],[UAI]]/Indicadores[[#This Row],[Ventas]])</f>
        <v>7.138011886641627E-3</v>
      </c>
      <c r="Q127" s="837">
        <f>IFERROR(Indicadores[[#This Row],[Ventas]]/Indicadores[[#This Row],[Activos totales]],0)</f>
        <v>6.3871068570433209</v>
      </c>
    </row>
    <row r="128" spans="1:17" x14ac:dyDescent="0.35">
      <c r="A128" s="13" t="str">
        <f>MID(Indicadores[[#This Row],[CIIU]],2,4)</f>
        <v>2429</v>
      </c>
      <c r="B128" s="13" t="str">
        <f>Indicadores[[#This Row],[CIIU]]&amp;Indicadores[[#This Row],[Año]]</f>
        <v>C24292016</v>
      </c>
      <c r="C128" s="14" t="s">
        <v>2279</v>
      </c>
      <c r="D128" s="14" t="s">
        <v>2523</v>
      </c>
      <c r="E128" s="848">
        <v>2016</v>
      </c>
      <c r="F128" s="856" t="s">
        <v>2530</v>
      </c>
      <c r="G128" s="858" t="s">
        <v>2531</v>
      </c>
      <c r="H128" s="848" t="s">
        <v>2532</v>
      </c>
      <c r="I128" s="693" t="s">
        <v>2531</v>
      </c>
      <c r="J128" s="847">
        <v>4392557</v>
      </c>
      <c r="K128" s="847">
        <v>12245846</v>
      </c>
      <c r="L128" s="841">
        <v>175858227</v>
      </c>
      <c r="M128" s="847">
        <v>158494430</v>
      </c>
      <c r="N128" s="839">
        <f>Indicadores[[#This Row],[Ventas]]/Indicadores[[#This Row],[Activos totales]]</f>
        <v>0.90126252666018292</v>
      </c>
      <c r="O128" s="837">
        <f>IF(Indicadores[[#This Row],[Ventas]]=0,0,Indicadores[[#This Row],[EBITDA]]/Indicadores[[#This Row],[Ventas]])</f>
        <v>7.7263573237242464E-2</v>
      </c>
      <c r="P128" s="837">
        <f>IF(Indicadores[[#This Row],[Ventas]]=0,0,Indicadores[[#This Row],[UAI]]/Indicadores[[#This Row],[Ventas]])</f>
        <v>2.7714267308952118E-2</v>
      </c>
      <c r="Q128" s="837">
        <f>IFERROR(Indicadores[[#This Row],[Ventas]]/Indicadores[[#This Row],[Activos totales]],0)</f>
        <v>0.90126252666018292</v>
      </c>
    </row>
    <row r="129" spans="1:17" x14ac:dyDescent="0.35">
      <c r="A129" s="13" t="str">
        <f>MID(Indicadores[[#This Row],[CIIU]],2,4)</f>
        <v>2431</v>
      </c>
      <c r="B129" s="13" t="str">
        <f>Indicadores[[#This Row],[CIIU]]&amp;Indicadores[[#This Row],[Año]]</f>
        <v>C24312016</v>
      </c>
      <c r="C129" s="14" t="s">
        <v>2279</v>
      </c>
      <c r="D129" s="14" t="s">
        <v>2523</v>
      </c>
      <c r="E129" s="848">
        <v>2016</v>
      </c>
      <c r="F129" s="856" t="s">
        <v>2533</v>
      </c>
      <c r="G129" s="858" t="s">
        <v>2534</v>
      </c>
      <c r="H129" s="848" t="s">
        <v>2535</v>
      </c>
      <c r="I129" s="693" t="s">
        <v>2534</v>
      </c>
      <c r="J129" s="847">
        <v>1102922</v>
      </c>
      <c r="K129" s="847">
        <v>12380735</v>
      </c>
      <c r="L129" s="841">
        <v>149369701</v>
      </c>
      <c r="M129" s="847">
        <v>127731121</v>
      </c>
      <c r="N129" s="839">
        <f>Indicadores[[#This Row],[Ventas]]/Indicadores[[#This Row],[Activos totales]]</f>
        <v>0.8551340743461755</v>
      </c>
      <c r="O129" s="837">
        <f>IF(Indicadores[[#This Row],[Ventas]]=0,0,Indicadores[[#This Row],[EBITDA]]/Indicadores[[#This Row],[Ventas]])</f>
        <v>9.6928101022459509E-2</v>
      </c>
      <c r="P129" s="837">
        <f>IF(Indicadores[[#This Row],[Ventas]]=0,0,Indicadores[[#This Row],[UAI]]/Indicadores[[#This Row],[Ventas]])</f>
        <v>8.6347163585920456E-3</v>
      </c>
      <c r="Q129" s="837">
        <f>IFERROR(Indicadores[[#This Row],[Ventas]]/Indicadores[[#This Row],[Activos totales]],0)</f>
        <v>0.8551340743461755</v>
      </c>
    </row>
    <row r="130" spans="1:17" x14ac:dyDescent="0.35">
      <c r="A130" s="13" t="str">
        <f>MID(Indicadores[[#This Row],[CIIU]],2,4)</f>
        <v>2432</v>
      </c>
      <c r="B130" s="13" t="str">
        <f>Indicadores[[#This Row],[CIIU]]&amp;Indicadores[[#This Row],[Año]]</f>
        <v>C24322016</v>
      </c>
      <c r="C130" s="14" t="s">
        <v>2279</v>
      </c>
      <c r="D130" s="14" t="s">
        <v>2523</v>
      </c>
      <c r="E130" s="848">
        <v>2016</v>
      </c>
      <c r="F130" s="856" t="s">
        <v>2536</v>
      </c>
      <c r="G130" s="858" t="s">
        <v>2537</v>
      </c>
      <c r="H130" s="848" t="s">
        <v>2538</v>
      </c>
      <c r="I130" s="693" t="s">
        <v>2539</v>
      </c>
      <c r="J130" s="847">
        <v>24026732</v>
      </c>
      <c r="K130" s="847">
        <v>35672844</v>
      </c>
      <c r="L130" s="841">
        <v>180036992</v>
      </c>
      <c r="M130" s="847">
        <v>1138429462</v>
      </c>
      <c r="N130" s="839">
        <f>Indicadores[[#This Row],[Ventas]]/Indicadores[[#This Row],[Activos totales]]</f>
        <v>6.323308612043463</v>
      </c>
      <c r="O130" s="837">
        <f>IF(Indicadores[[#This Row],[Ventas]]=0,0,Indicadores[[#This Row],[EBITDA]]/Indicadores[[#This Row],[Ventas]])</f>
        <v>3.1335137740839666E-2</v>
      </c>
      <c r="P130" s="837">
        <f>IF(Indicadores[[#This Row],[Ventas]]=0,0,Indicadores[[#This Row],[UAI]]/Indicadores[[#This Row],[Ventas]])</f>
        <v>2.1105156535381371E-2</v>
      </c>
      <c r="Q130" s="837">
        <f>IFERROR(Indicadores[[#This Row],[Ventas]]/Indicadores[[#This Row],[Activos totales]],0)</f>
        <v>6.323308612043463</v>
      </c>
    </row>
    <row r="131" spans="1:17" x14ac:dyDescent="0.35">
      <c r="A131" s="13" t="str">
        <f>MID(Indicadores[[#This Row],[CIIU]],2,4)</f>
        <v>2511</v>
      </c>
      <c r="B131" s="13" t="str">
        <f>Indicadores[[#This Row],[CIIU]]&amp;Indicadores[[#This Row],[Año]]</f>
        <v>C25112016</v>
      </c>
      <c r="C131" s="14" t="s">
        <v>2279</v>
      </c>
      <c r="D131" s="14" t="s">
        <v>2540</v>
      </c>
      <c r="E131" s="848">
        <v>2016</v>
      </c>
      <c r="F131" s="856" t="s">
        <v>2541</v>
      </c>
      <c r="G131" s="858" t="s">
        <v>2542</v>
      </c>
      <c r="H131" s="848" t="s">
        <v>2543</v>
      </c>
      <c r="I131" s="693" t="s">
        <v>2542</v>
      </c>
      <c r="J131" s="847">
        <v>126581118</v>
      </c>
      <c r="K131" s="847">
        <v>208070931</v>
      </c>
      <c r="L131" s="841">
        <v>1928195903</v>
      </c>
      <c r="M131" s="847">
        <v>1776576236</v>
      </c>
      <c r="N131" s="839">
        <f>Indicadores[[#This Row],[Ventas]]/Indicadores[[#This Row],[Activos totales]]</f>
        <v>0.9213670837262431</v>
      </c>
      <c r="O131" s="837">
        <f>IF(Indicadores[[#This Row],[Ventas]]=0,0,Indicadores[[#This Row],[EBITDA]]/Indicadores[[#This Row],[Ventas]])</f>
        <v>0.11711905562154554</v>
      </c>
      <c r="P131" s="837">
        <f>IF(Indicadores[[#This Row],[Ventas]]=0,0,Indicadores[[#This Row],[UAI]]/Indicadores[[#This Row],[Ventas]])</f>
        <v>7.1250034439839266E-2</v>
      </c>
      <c r="Q131" s="837">
        <f>IFERROR(Indicadores[[#This Row],[Ventas]]/Indicadores[[#This Row],[Activos totales]],0)</f>
        <v>0.9213670837262431</v>
      </c>
    </row>
    <row r="132" spans="1:17" x14ac:dyDescent="0.35">
      <c r="A132" s="13" t="str">
        <f>MID(Indicadores[[#This Row],[CIIU]],2,4)</f>
        <v>2512</v>
      </c>
      <c r="B132" s="13" t="str">
        <f>Indicadores[[#This Row],[CIIU]]&amp;Indicadores[[#This Row],[Año]]</f>
        <v>C25122016</v>
      </c>
      <c r="C132" s="14" t="s">
        <v>2279</v>
      </c>
      <c r="D132" s="14" t="s">
        <v>2540</v>
      </c>
      <c r="E132" s="848">
        <v>2016</v>
      </c>
      <c r="F132" s="856" t="s">
        <v>2544</v>
      </c>
      <c r="G132" s="858" t="s">
        <v>2545</v>
      </c>
      <c r="H132" s="848" t="s">
        <v>2546</v>
      </c>
      <c r="I132" s="693" t="s">
        <v>2545</v>
      </c>
      <c r="J132" s="847">
        <v>477114</v>
      </c>
      <c r="K132" s="847">
        <v>6930808</v>
      </c>
      <c r="L132" s="841">
        <v>214295806</v>
      </c>
      <c r="M132" s="847">
        <v>83542103</v>
      </c>
      <c r="N132" s="839">
        <f>Indicadores[[#This Row],[Ventas]]/Indicadores[[#This Row],[Activos totales]]</f>
        <v>0.38984478772300379</v>
      </c>
      <c r="O132" s="837">
        <f>IF(Indicadores[[#This Row],[Ventas]]=0,0,Indicadores[[#This Row],[EBITDA]]/Indicadores[[#This Row],[Ventas]])</f>
        <v>8.2961856969293674E-2</v>
      </c>
      <c r="P132" s="837">
        <f>IF(Indicadores[[#This Row],[Ventas]]=0,0,Indicadores[[#This Row],[UAI]]/Indicadores[[#This Row],[Ventas]])</f>
        <v>5.7110604457730734E-3</v>
      </c>
      <c r="Q132" s="837">
        <f>IFERROR(Indicadores[[#This Row],[Ventas]]/Indicadores[[#This Row],[Activos totales]],0)</f>
        <v>0.38984478772300379</v>
      </c>
    </row>
    <row r="133" spans="1:17" x14ac:dyDescent="0.35">
      <c r="A133" s="13" t="str">
        <f>MID(Indicadores[[#This Row],[CIIU]],2,4)</f>
        <v>2513</v>
      </c>
      <c r="B133" s="13" t="str">
        <f>Indicadores[[#This Row],[CIIU]]&amp;Indicadores[[#This Row],[Año]]</f>
        <v>C25132016</v>
      </c>
      <c r="C133" s="14" t="s">
        <v>2279</v>
      </c>
      <c r="D133" s="14" t="s">
        <v>2540</v>
      </c>
      <c r="E133" s="848">
        <v>2016</v>
      </c>
      <c r="F133" s="856" t="s">
        <v>2547</v>
      </c>
      <c r="G133" s="858" t="s">
        <v>2548</v>
      </c>
      <c r="H133" s="848" t="s">
        <v>2549</v>
      </c>
      <c r="I133" s="693" t="s">
        <v>2548</v>
      </c>
      <c r="J133" s="847">
        <v>608596</v>
      </c>
      <c r="K133" s="847">
        <v>925675</v>
      </c>
      <c r="L133" s="841">
        <v>13821810</v>
      </c>
      <c r="M133" s="847">
        <v>20526381</v>
      </c>
      <c r="N133" s="839">
        <f>Indicadores[[#This Row],[Ventas]]/Indicadores[[#This Row],[Activos totales]]</f>
        <v>1.4850718538310106</v>
      </c>
      <c r="O133" s="837">
        <f>IF(Indicadores[[#This Row],[Ventas]]=0,0,Indicadores[[#This Row],[EBITDA]]/Indicadores[[#This Row],[Ventas]])</f>
        <v>4.5096843910283062E-2</v>
      </c>
      <c r="P133" s="837">
        <f>IF(Indicadores[[#This Row],[Ventas]]=0,0,Indicadores[[#This Row],[UAI]]/Indicadores[[#This Row],[Ventas]])</f>
        <v>2.9649454523912423E-2</v>
      </c>
      <c r="Q133" s="837">
        <f>IFERROR(Indicadores[[#This Row],[Ventas]]/Indicadores[[#This Row],[Activos totales]],0)</f>
        <v>1.4850718538310106</v>
      </c>
    </row>
    <row r="134" spans="1:17" x14ac:dyDescent="0.35">
      <c r="A134" s="13" t="str">
        <f>MID(Indicadores[[#This Row],[CIIU]],2,4)</f>
        <v>2520</v>
      </c>
      <c r="B134" s="13" t="str">
        <f>Indicadores[[#This Row],[CIIU]]&amp;Indicadores[[#This Row],[Año]]</f>
        <v>C25202016</v>
      </c>
      <c r="C134" s="14" t="s">
        <v>2279</v>
      </c>
      <c r="D134" s="14" t="s">
        <v>2540</v>
      </c>
      <c r="E134" s="848">
        <v>2016</v>
      </c>
      <c r="F134" s="856" t="s">
        <v>2550</v>
      </c>
      <c r="G134" s="857" t="e">
        <v>#N/A</v>
      </c>
      <c r="H134" s="848" t="s">
        <v>2551</v>
      </c>
      <c r="I134" s="693" t="s">
        <v>2552</v>
      </c>
      <c r="J134" s="847">
        <v>-5916009</v>
      </c>
      <c r="K134" s="847">
        <v>-5685663</v>
      </c>
      <c r="L134" s="841">
        <v>28742252</v>
      </c>
      <c r="M134" s="847">
        <v>250387</v>
      </c>
      <c r="N134" s="839">
        <f>Indicadores[[#This Row],[Ventas]]/Indicadores[[#This Row],[Activos totales]]</f>
        <v>8.711460744272927E-3</v>
      </c>
      <c r="O134" s="837">
        <f>IF(Indicadores[[#This Row],[Ventas]]=0,0,Indicadores[[#This Row],[EBITDA]]/Indicadores[[#This Row],[Ventas]])</f>
        <v>-22.707500788778969</v>
      </c>
      <c r="P134" s="837">
        <f>IF(Indicadores[[#This Row],[Ventas]]=0,0,Indicadores[[#This Row],[UAI]]/Indicadores[[#This Row],[Ventas]])</f>
        <v>-23.627460690850562</v>
      </c>
      <c r="Q134" s="837">
        <f>IFERROR(Indicadores[[#This Row],[Ventas]]/Indicadores[[#This Row],[Activos totales]],0)</f>
        <v>8.711460744272927E-3</v>
      </c>
    </row>
    <row r="135" spans="1:17" x14ac:dyDescent="0.35">
      <c r="A135" s="13" t="str">
        <f>MID(Indicadores[[#This Row],[CIIU]],2,4)</f>
        <v>2591</v>
      </c>
      <c r="B135" s="13" t="str">
        <f>Indicadores[[#This Row],[CIIU]]&amp;Indicadores[[#This Row],[Año]]</f>
        <v>C25912016</v>
      </c>
      <c r="C135" s="14" t="s">
        <v>2279</v>
      </c>
      <c r="D135" s="14" t="s">
        <v>2540</v>
      </c>
      <c r="E135" s="848">
        <v>2016</v>
      </c>
      <c r="F135" s="856" t="s">
        <v>2553</v>
      </c>
      <c r="G135" s="858" t="s">
        <v>2554</v>
      </c>
      <c r="H135" s="848" t="s">
        <v>2555</v>
      </c>
      <c r="I135" s="693" t="s">
        <v>2554</v>
      </c>
      <c r="J135" s="847">
        <v>4133125</v>
      </c>
      <c r="K135" s="847">
        <v>6271189</v>
      </c>
      <c r="L135" s="841">
        <v>84593872</v>
      </c>
      <c r="M135" s="847">
        <v>80028306</v>
      </c>
      <c r="N135" s="839">
        <f>Indicadores[[#This Row],[Ventas]]/Indicadores[[#This Row],[Activos totales]]</f>
        <v>0.94602958947191829</v>
      </c>
      <c r="O135" s="837">
        <f>IF(Indicadores[[#This Row],[Ventas]]=0,0,Indicadores[[#This Row],[EBITDA]]/Indicadores[[#This Row],[Ventas]])</f>
        <v>7.8362136017223707E-2</v>
      </c>
      <c r="P135" s="837">
        <f>IF(Indicadores[[#This Row],[Ventas]]=0,0,Indicadores[[#This Row],[UAI]]/Indicadores[[#This Row],[Ventas]])</f>
        <v>5.164578892873229E-2</v>
      </c>
      <c r="Q135" s="837">
        <f>IFERROR(Indicadores[[#This Row],[Ventas]]/Indicadores[[#This Row],[Activos totales]],0)</f>
        <v>0.94602958947191829</v>
      </c>
    </row>
    <row r="136" spans="1:17" x14ac:dyDescent="0.35">
      <c r="A136" s="13" t="str">
        <f>MID(Indicadores[[#This Row],[CIIU]],2,4)</f>
        <v>2592</v>
      </c>
      <c r="B136" s="13" t="str">
        <f>Indicadores[[#This Row],[CIIU]]&amp;Indicadores[[#This Row],[Año]]</f>
        <v>C25922016</v>
      </c>
      <c r="C136" s="14" t="s">
        <v>2279</v>
      </c>
      <c r="D136" s="14" t="s">
        <v>2540</v>
      </c>
      <c r="E136" s="848">
        <v>2016</v>
      </c>
      <c r="F136" s="856" t="s">
        <v>2556</v>
      </c>
      <c r="G136" s="858" t="s">
        <v>2557</v>
      </c>
      <c r="H136" s="848" t="s">
        <v>2558</v>
      </c>
      <c r="I136" s="693" t="s">
        <v>2557</v>
      </c>
      <c r="J136" s="847">
        <v>78618139</v>
      </c>
      <c r="K136" s="847">
        <v>121435560</v>
      </c>
      <c r="L136" s="841">
        <v>1096887170</v>
      </c>
      <c r="M136" s="847">
        <v>854382106</v>
      </c>
      <c r="N136" s="839">
        <f>Indicadores[[#This Row],[Ventas]]/Indicadores[[#This Row],[Activos totales]]</f>
        <v>0.77891521513557316</v>
      </c>
      <c r="O136" s="837">
        <f>IF(Indicadores[[#This Row],[Ventas]]=0,0,Indicadores[[#This Row],[EBITDA]]/Indicadores[[#This Row],[Ventas]])</f>
        <v>0.14213261156478388</v>
      </c>
      <c r="P136" s="837">
        <f>IF(Indicadores[[#This Row],[Ventas]]=0,0,Indicadores[[#This Row],[UAI]]/Indicadores[[#This Row],[Ventas]])</f>
        <v>9.2017539281189012E-2</v>
      </c>
      <c r="Q136" s="837">
        <f>IFERROR(Indicadores[[#This Row],[Ventas]]/Indicadores[[#This Row],[Activos totales]],0)</f>
        <v>0.77891521513557316</v>
      </c>
    </row>
    <row r="137" spans="1:17" x14ac:dyDescent="0.35">
      <c r="A137" s="13" t="str">
        <f>MID(Indicadores[[#This Row],[CIIU]],2,4)</f>
        <v>2593</v>
      </c>
      <c r="B137" s="13" t="str">
        <f>Indicadores[[#This Row],[CIIU]]&amp;Indicadores[[#This Row],[Año]]</f>
        <v>C25932016</v>
      </c>
      <c r="C137" s="14" t="s">
        <v>2279</v>
      </c>
      <c r="D137" s="14" t="s">
        <v>2540</v>
      </c>
      <c r="E137" s="848">
        <v>2016</v>
      </c>
      <c r="F137" s="856" t="s">
        <v>2559</v>
      </c>
      <c r="G137" s="858" t="s">
        <v>2560</v>
      </c>
      <c r="H137" s="848" t="s">
        <v>2561</v>
      </c>
      <c r="I137" s="693" t="s">
        <v>2560</v>
      </c>
      <c r="J137" s="847">
        <v>36147988</v>
      </c>
      <c r="K137" s="847">
        <v>49655591</v>
      </c>
      <c r="L137" s="841">
        <v>342537675</v>
      </c>
      <c r="M137" s="847">
        <v>436012873</v>
      </c>
      <c r="N137" s="839">
        <f>Indicadores[[#This Row],[Ventas]]/Indicadores[[#This Row],[Activos totales]]</f>
        <v>1.2728902682018846</v>
      </c>
      <c r="O137" s="837">
        <f>IF(Indicadores[[#This Row],[Ventas]]=0,0,Indicadores[[#This Row],[EBITDA]]/Indicadores[[#This Row],[Ventas]])</f>
        <v>0.11388560768479879</v>
      </c>
      <c r="P137" s="837">
        <f>IF(Indicadores[[#This Row],[Ventas]]=0,0,Indicadores[[#This Row],[UAI]]/Indicadores[[#This Row],[Ventas]])</f>
        <v>8.2905781545582938E-2</v>
      </c>
      <c r="Q137" s="837">
        <f>IFERROR(Indicadores[[#This Row],[Ventas]]/Indicadores[[#This Row],[Activos totales]],0)</f>
        <v>1.2728902682018846</v>
      </c>
    </row>
    <row r="138" spans="1:17" x14ac:dyDescent="0.35">
      <c r="A138" s="13" t="str">
        <f>MID(Indicadores[[#This Row],[CIIU]],2,4)</f>
        <v>2599</v>
      </c>
      <c r="B138" s="13" t="str">
        <f>Indicadores[[#This Row],[CIIU]]&amp;Indicadores[[#This Row],[Año]]</f>
        <v>C25992016</v>
      </c>
      <c r="C138" s="14" t="s">
        <v>2279</v>
      </c>
      <c r="D138" s="14" t="s">
        <v>2540</v>
      </c>
      <c r="E138" s="848">
        <v>2016</v>
      </c>
      <c r="F138" s="856" t="s">
        <v>2562</v>
      </c>
      <c r="G138" s="858" t="s">
        <v>2563</v>
      </c>
      <c r="H138" s="848" t="s">
        <v>2564</v>
      </c>
      <c r="I138" s="693" t="s">
        <v>2563</v>
      </c>
      <c r="J138" s="847">
        <v>21515284</v>
      </c>
      <c r="K138" s="847">
        <v>237153277</v>
      </c>
      <c r="L138" s="841">
        <v>3981450836</v>
      </c>
      <c r="M138" s="847">
        <v>2980475858</v>
      </c>
      <c r="N138" s="839">
        <f>Indicadores[[#This Row],[Ventas]]/Indicadores[[#This Row],[Activos totales]]</f>
        <v>0.74859039600608546</v>
      </c>
      <c r="O138" s="837">
        <f>IF(Indicadores[[#This Row],[Ventas]]=0,0,Indicadores[[#This Row],[EBITDA]]/Indicadores[[#This Row],[Ventas]])</f>
        <v>7.9568930700595522E-2</v>
      </c>
      <c r="P138" s="837">
        <f>IF(Indicadores[[#This Row],[Ventas]]=0,0,Indicadores[[#This Row],[UAI]]/Indicadores[[#This Row],[Ventas]])</f>
        <v>7.2187412430300586E-3</v>
      </c>
      <c r="Q138" s="837">
        <f>IFERROR(Indicadores[[#This Row],[Ventas]]/Indicadores[[#This Row],[Activos totales]],0)</f>
        <v>0.74859039600608546</v>
      </c>
    </row>
    <row r="139" spans="1:17" x14ac:dyDescent="0.35">
      <c r="A139" s="13" t="str">
        <f>MID(Indicadores[[#This Row],[CIIU]],2,4)</f>
        <v>2610</v>
      </c>
      <c r="B139" s="13" t="str">
        <f>Indicadores[[#This Row],[CIIU]]&amp;Indicadores[[#This Row],[Año]]</f>
        <v>C26102016</v>
      </c>
      <c r="C139" s="14" t="s">
        <v>2279</v>
      </c>
      <c r="D139" s="14" t="s">
        <v>2565</v>
      </c>
      <c r="E139" s="848">
        <v>2016</v>
      </c>
      <c r="F139" s="856" t="s">
        <v>2566</v>
      </c>
      <c r="G139" s="858" t="s">
        <v>2567</v>
      </c>
      <c r="H139" s="848" t="s">
        <v>2568</v>
      </c>
      <c r="I139" s="693" t="s">
        <v>2567</v>
      </c>
      <c r="J139" s="847">
        <v>1841645</v>
      </c>
      <c r="K139" s="847">
        <v>3166179</v>
      </c>
      <c r="L139" s="841">
        <v>26028763</v>
      </c>
      <c r="M139" s="847">
        <v>29523381</v>
      </c>
      <c r="N139" s="839">
        <f>Indicadores[[#This Row],[Ventas]]/Indicadores[[#This Row],[Activos totales]]</f>
        <v>1.1342598570665843</v>
      </c>
      <c r="O139" s="837">
        <f>IF(Indicadores[[#This Row],[Ventas]]=0,0,Indicadores[[#This Row],[EBITDA]]/Indicadores[[#This Row],[Ventas]])</f>
        <v>0.10724310335594693</v>
      </c>
      <c r="P139" s="837">
        <f>IF(Indicadores[[#This Row],[Ventas]]=0,0,Indicadores[[#This Row],[UAI]]/Indicadores[[#This Row],[Ventas]])</f>
        <v>6.2379203791056319E-2</v>
      </c>
      <c r="Q139" s="837">
        <f>IFERROR(Indicadores[[#This Row],[Ventas]]/Indicadores[[#This Row],[Activos totales]],0)</f>
        <v>1.1342598570665843</v>
      </c>
    </row>
    <row r="140" spans="1:17" x14ac:dyDescent="0.35">
      <c r="A140" s="13" t="str">
        <f>MID(Indicadores[[#This Row],[CIIU]],2,4)</f>
        <v>2620</v>
      </c>
      <c r="B140" s="13" t="str">
        <f>Indicadores[[#This Row],[CIIU]]&amp;Indicadores[[#This Row],[Año]]</f>
        <v>C26202016</v>
      </c>
      <c r="C140" s="14" t="s">
        <v>2279</v>
      </c>
      <c r="D140" s="14" t="s">
        <v>2565</v>
      </c>
      <c r="E140" s="848">
        <v>2016</v>
      </c>
      <c r="F140" s="856" t="s">
        <v>2569</v>
      </c>
      <c r="G140" s="858" t="s">
        <v>2570</v>
      </c>
      <c r="H140" s="848" t="s">
        <v>2571</v>
      </c>
      <c r="I140" s="693" t="s">
        <v>2570</v>
      </c>
      <c r="J140" s="847">
        <v>1813718</v>
      </c>
      <c r="K140" s="847">
        <v>6380107</v>
      </c>
      <c r="L140" s="841">
        <v>53171415</v>
      </c>
      <c r="M140" s="847">
        <v>78547039</v>
      </c>
      <c r="N140" s="839">
        <f>Indicadores[[#This Row],[Ventas]]/Indicadores[[#This Row],[Activos totales]]</f>
        <v>1.4772418413164292</v>
      </c>
      <c r="O140" s="837">
        <f>IF(Indicadores[[#This Row],[Ventas]]=0,0,Indicadores[[#This Row],[EBITDA]]/Indicadores[[#This Row],[Ventas]])</f>
        <v>8.1226575581034952E-2</v>
      </c>
      <c r="P140" s="837">
        <f>IF(Indicadores[[#This Row],[Ventas]]=0,0,Indicadores[[#This Row],[UAI]]/Indicadores[[#This Row],[Ventas]])</f>
        <v>2.3090851330500185E-2</v>
      </c>
      <c r="Q140" s="837">
        <f>IFERROR(Indicadores[[#This Row],[Ventas]]/Indicadores[[#This Row],[Activos totales]],0)</f>
        <v>1.4772418413164292</v>
      </c>
    </row>
    <row r="141" spans="1:17" x14ac:dyDescent="0.35">
      <c r="A141" s="13" t="str">
        <f>MID(Indicadores[[#This Row],[CIIU]],2,4)</f>
        <v>2651</v>
      </c>
      <c r="B141" s="13" t="str">
        <f>Indicadores[[#This Row],[CIIU]]&amp;Indicadores[[#This Row],[Año]]</f>
        <v>C26512016</v>
      </c>
      <c r="C141" s="14" t="s">
        <v>2279</v>
      </c>
      <c r="D141" s="14" t="s">
        <v>2565</v>
      </c>
      <c r="E141" s="848">
        <v>2016</v>
      </c>
      <c r="F141" s="856" t="s">
        <v>2572</v>
      </c>
      <c r="G141" s="858" t="s">
        <v>2573</v>
      </c>
      <c r="H141" s="848" t="s">
        <v>2574</v>
      </c>
      <c r="I141" s="693" t="s">
        <v>2573</v>
      </c>
      <c r="J141" s="847">
        <v>6411988</v>
      </c>
      <c r="K141" s="847">
        <v>8354375</v>
      </c>
      <c r="L141" s="841">
        <v>47087291</v>
      </c>
      <c r="M141" s="847">
        <v>67769966</v>
      </c>
      <c r="N141" s="839">
        <f>Indicadores[[#This Row],[Ventas]]/Indicadores[[#This Row],[Activos totales]]</f>
        <v>1.4392411319648863</v>
      </c>
      <c r="O141" s="837">
        <f>IF(Indicadores[[#This Row],[Ventas]]=0,0,Indicadores[[#This Row],[EBITDA]]/Indicadores[[#This Row],[Ventas]])</f>
        <v>0.12327547869804155</v>
      </c>
      <c r="P141" s="837">
        <f>IF(Indicadores[[#This Row],[Ventas]]=0,0,Indicadores[[#This Row],[UAI]]/Indicadores[[#This Row],[Ventas]])</f>
        <v>9.4614006446454471E-2</v>
      </c>
      <c r="Q141" s="837">
        <f>IFERROR(Indicadores[[#This Row],[Ventas]]/Indicadores[[#This Row],[Activos totales]],0)</f>
        <v>1.4392411319648863</v>
      </c>
    </row>
    <row r="142" spans="1:17" x14ac:dyDescent="0.35">
      <c r="A142" s="13" t="str">
        <f>MID(Indicadores[[#This Row],[CIIU]],2,4)</f>
        <v>2660</v>
      </c>
      <c r="B142" s="13" t="str">
        <f>Indicadores[[#This Row],[CIIU]]&amp;Indicadores[[#This Row],[Año]]</f>
        <v>C26602016</v>
      </c>
      <c r="C142" s="14" t="s">
        <v>2279</v>
      </c>
      <c r="D142" s="14" t="s">
        <v>2565</v>
      </c>
      <c r="E142" s="848">
        <v>2016</v>
      </c>
      <c r="F142" s="856" t="s">
        <v>2575</v>
      </c>
      <c r="G142" s="858" t="s">
        <v>2576</v>
      </c>
      <c r="H142" s="848" t="s">
        <v>2577</v>
      </c>
      <c r="I142" s="693" t="s">
        <v>2576</v>
      </c>
      <c r="J142" s="847">
        <v>586156</v>
      </c>
      <c r="K142" s="847">
        <v>989603</v>
      </c>
      <c r="L142" s="841">
        <v>12979868</v>
      </c>
      <c r="M142" s="847">
        <v>9219242</v>
      </c>
      <c r="N142" s="839">
        <f>Indicadores[[#This Row],[Ventas]]/Indicadores[[#This Row],[Activos totales]]</f>
        <v>0.71027240030484129</v>
      </c>
      <c r="O142" s="837">
        <f>IF(Indicadores[[#This Row],[Ventas]]=0,0,Indicadores[[#This Row],[EBITDA]]/Indicadores[[#This Row],[Ventas]])</f>
        <v>0.10734103736511093</v>
      </c>
      <c r="P142" s="837">
        <f>IF(Indicadores[[#This Row],[Ventas]]=0,0,Indicadores[[#This Row],[UAI]]/Indicadores[[#This Row],[Ventas]])</f>
        <v>6.3579630516261532E-2</v>
      </c>
      <c r="Q142" s="837">
        <f>IFERROR(Indicadores[[#This Row],[Ventas]]/Indicadores[[#This Row],[Activos totales]],0)</f>
        <v>0.71027240030484129</v>
      </c>
    </row>
    <row r="143" spans="1:17" x14ac:dyDescent="0.35">
      <c r="A143" s="13" t="str">
        <f>MID(Indicadores[[#This Row],[CIIU]],2,4)</f>
        <v>2670</v>
      </c>
      <c r="B143" s="13" t="str">
        <f>Indicadores[[#This Row],[CIIU]]&amp;Indicadores[[#This Row],[Año]]</f>
        <v>C26702016</v>
      </c>
      <c r="C143" s="14" t="s">
        <v>2279</v>
      </c>
      <c r="D143" s="14" t="s">
        <v>2565</v>
      </c>
      <c r="E143" s="848">
        <v>2016</v>
      </c>
      <c r="F143" s="856" t="s">
        <v>2578</v>
      </c>
      <c r="G143" s="858" t="s">
        <v>2579</v>
      </c>
      <c r="H143" s="848" t="s">
        <v>2580</v>
      </c>
      <c r="I143" s="693" t="s">
        <v>2579</v>
      </c>
      <c r="J143" s="847">
        <v>3299505</v>
      </c>
      <c r="K143" s="847">
        <v>3383641</v>
      </c>
      <c r="L143" s="841">
        <v>5567487</v>
      </c>
      <c r="M143" s="847">
        <v>12003577</v>
      </c>
      <c r="N143" s="839">
        <f>Indicadores[[#This Row],[Ventas]]/Indicadores[[#This Row],[Activos totales]]</f>
        <v>2.1560134760979235</v>
      </c>
      <c r="O143" s="837">
        <f>IF(Indicadores[[#This Row],[Ventas]]=0,0,Indicadores[[#This Row],[EBITDA]]/Indicadores[[#This Row],[Ventas]])</f>
        <v>0.28188605779760484</v>
      </c>
      <c r="P143" s="837">
        <f>IF(Indicadores[[#This Row],[Ventas]]=0,0,Indicadores[[#This Row],[UAI]]/Indicadores[[#This Row],[Ventas]])</f>
        <v>0.27487681380308554</v>
      </c>
      <c r="Q143" s="837">
        <f>IFERROR(Indicadores[[#This Row],[Ventas]]/Indicadores[[#This Row],[Activos totales]],0)</f>
        <v>2.1560134760979235</v>
      </c>
    </row>
    <row r="144" spans="1:17" x14ac:dyDescent="0.35">
      <c r="A144" s="13" t="str">
        <f>MID(Indicadores[[#This Row],[CIIU]],2,4)</f>
        <v>2711</v>
      </c>
      <c r="B144" s="13" t="str">
        <f>Indicadores[[#This Row],[CIIU]]&amp;Indicadores[[#This Row],[Año]]</f>
        <v>C27112016</v>
      </c>
      <c r="C144" s="14" t="s">
        <v>2279</v>
      </c>
      <c r="D144" s="14" t="s">
        <v>2581</v>
      </c>
      <c r="E144" s="848">
        <v>2016</v>
      </c>
      <c r="F144" s="856" t="s">
        <v>2582</v>
      </c>
      <c r="G144" s="858" t="s">
        <v>2583</v>
      </c>
      <c r="H144" s="848" t="s">
        <v>2584</v>
      </c>
      <c r="I144" s="693" t="s">
        <v>2583</v>
      </c>
      <c r="J144" s="847">
        <v>26392379</v>
      </c>
      <c r="K144" s="847">
        <v>46901931</v>
      </c>
      <c r="L144" s="841">
        <v>588011027</v>
      </c>
      <c r="M144" s="847">
        <v>675315556</v>
      </c>
      <c r="N144" s="839">
        <f>Indicadores[[#This Row],[Ventas]]/Indicadores[[#This Row],[Activos totales]]</f>
        <v>1.1484743057378073</v>
      </c>
      <c r="O144" s="837">
        <f>IF(Indicadores[[#This Row],[Ventas]]=0,0,Indicadores[[#This Row],[EBITDA]]/Indicadores[[#This Row],[Ventas]])</f>
        <v>6.9451874139857664E-2</v>
      </c>
      <c r="P144" s="837">
        <f>IF(Indicadores[[#This Row],[Ventas]]=0,0,Indicadores[[#This Row],[UAI]]/Indicadores[[#This Row],[Ventas]])</f>
        <v>3.9081550492226481E-2</v>
      </c>
      <c r="Q144" s="837">
        <f>IFERROR(Indicadores[[#This Row],[Ventas]]/Indicadores[[#This Row],[Activos totales]],0)</f>
        <v>1.1484743057378073</v>
      </c>
    </row>
    <row r="145" spans="1:17" x14ac:dyDescent="0.35">
      <c r="A145" s="13" t="str">
        <f>MID(Indicadores[[#This Row],[CIIU]],2,4)</f>
        <v>2712</v>
      </c>
      <c r="B145" s="13" t="str">
        <f>Indicadores[[#This Row],[CIIU]]&amp;Indicadores[[#This Row],[Año]]</f>
        <v>C27122016</v>
      </c>
      <c r="C145" s="14" t="s">
        <v>2279</v>
      </c>
      <c r="D145" s="14" t="s">
        <v>2581</v>
      </c>
      <c r="E145" s="848">
        <v>2016</v>
      </c>
      <c r="F145" s="856" t="s">
        <v>2585</v>
      </c>
      <c r="G145" s="858" t="s">
        <v>2586</v>
      </c>
      <c r="H145" s="848" t="s">
        <v>2587</v>
      </c>
      <c r="I145" s="693" t="s">
        <v>2586</v>
      </c>
      <c r="J145" s="847">
        <v>9692287</v>
      </c>
      <c r="K145" s="847">
        <v>15058715</v>
      </c>
      <c r="L145" s="841">
        <v>154119756</v>
      </c>
      <c r="M145" s="847">
        <v>138573310</v>
      </c>
      <c r="N145" s="839">
        <f>Indicadores[[#This Row],[Ventas]]/Indicadores[[#This Row],[Activos totales]]</f>
        <v>0.89912749407674897</v>
      </c>
      <c r="O145" s="837">
        <f>IF(Indicadores[[#This Row],[Ventas]]=0,0,Indicadores[[#This Row],[EBITDA]]/Indicadores[[#This Row],[Ventas]])</f>
        <v>0.10866966373250375</v>
      </c>
      <c r="P145" s="837">
        <f>IF(Indicadores[[#This Row],[Ventas]]=0,0,Indicadores[[#This Row],[UAI]]/Indicadores[[#This Row],[Ventas]])</f>
        <v>6.9943389531505015E-2</v>
      </c>
      <c r="Q145" s="837">
        <f>IFERROR(Indicadores[[#This Row],[Ventas]]/Indicadores[[#This Row],[Activos totales]],0)</f>
        <v>0.89912749407674897</v>
      </c>
    </row>
    <row r="146" spans="1:17" x14ac:dyDescent="0.35">
      <c r="A146" s="13" t="str">
        <f>MID(Indicadores[[#This Row],[CIIU]],2,4)</f>
        <v>2720</v>
      </c>
      <c r="B146" s="13" t="str">
        <f>Indicadores[[#This Row],[CIIU]]&amp;Indicadores[[#This Row],[Año]]</f>
        <v>C27202016</v>
      </c>
      <c r="C146" s="14" t="s">
        <v>2279</v>
      </c>
      <c r="D146" s="14" t="s">
        <v>2581</v>
      </c>
      <c r="E146" s="848">
        <v>2016</v>
      </c>
      <c r="F146" s="856" t="s">
        <v>2588</v>
      </c>
      <c r="G146" s="857" t="s">
        <v>2589</v>
      </c>
      <c r="H146" s="848" t="s">
        <v>2590</v>
      </c>
      <c r="I146" s="693" t="s">
        <v>2589</v>
      </c>
      <c r="J146" s="847">
        <v>69178449</v>
      </c>
      <c r="K146" s="847">
        <v>75683253</v>
      </c>
      <c r="L146" s="841">
        <v>594277959</v>
      </c>
      <c r="M146" s="847">
        <v>612541485</v>
      </c>
      <c r="N146" s="839">
        <f>Indicadores[[#This Row],[Ventas]]/Indicadores[[#This Row],[Activos totales]]</f>
        <v>1.0307322957606107</v>
      </c>
      <c r="O146" s="837">
        <f>IF(Indicadores[[#This Row],[Ventas]]=0,0,Indicadores[[#This Row],[EBITDA]]/Indicadores[[#This Row],[Ventas]])</f>
        <v>0.123556126161806</v>
      </c>
      <c r="P146" s="837">
        <f>IF(Indicadores[[#This Row],[Ventas]]=0,0,Indicadores[[#This Row],[UAI]]/Indicadores[[#This Row],[Ventas]])</f>
        <v>0.11293675725489842</v>
      </c>
      <c r="Q146" s="837">
        <f>IFERROR(Indicadores[[#This Row],[Ventas]]/Indicadores[[#This Row],[Activos totales]],0)</f>
        <v>1.0307322957606107</v>
      </c>
    </row>
    <row r="147" spans="1:17" x14ac:dyDescent="0.35">
      <c r="A147" s="13" t="str">
        <f>MID(Indicadores[[#This Row],[CIIU]],2,4)</f>
        <v>2731</v>
      </c>
      <c r="B147" s="13" t="str">
        <f>Indicadores[[#This Row],[CIIU]]&amp;Indicadores[[#This Row],[Año]]</f>
        <v>C27312016</v>
      </c>
      <c r="C147" s="14" t="s">
        <v>2279</v>
      </c>
      <c r="D147" s="14" t="s">
        <v>2581</v>
      </c>
      <c r="E147" s="848">
        <v>2016</v>
      </c>
      <c r="F147" s="856" t="s">
        <v>2591</v>
      </c>
      <c r="G147" s="858" t="s">
        <v>2592</v>
      </c>
      <c r="H147" s="848" t="s">
        <v>2593</v>
      </c>
      <c r="I147" s="693" t="s">
        <v>2592</v>
      </c>
      <c r="J147" s="847">
        <v>26458105</v>
      </c>
      <c r="K147" s="847">
        <v>60701928</v>
      </c>
      <c r="L147" s="841">
        <v>752901515</v>
      </c>
      <c r="M147" s="847">
        <v>938630975</v>
      </c>
      <c r="N147" s="839">
        <f>Indicadores[[#This Row],[Ventas]]/Indicadores[[#This Row],[Activos totales]]</f>
        <v>1.2466849332877223</v>
      </c>
      <c r="O147" s="837">
        <f>IF(Indicadores[[#This Row],[Ventas]]=0,0,Indicadores[[#This Row],[EBITDA]]/Indicadores[[#This Row],[Ventas]])</f>
        <v>6.4670706184611057E-2</v>
      </c>
      <c r="P147" s="837">
        <f>IF(Indicadores[[#This Row],[Ventas]]=0,0,Indicadores[[#This Row],[UAI]]/Indicadores[[#This Row],[Ventas]])</f>
        <v>2.8187973447179281E-2</v>
      </c>
      <c r="Q147" s="837">
        <f>IFERROR(Indicadores[[#This Row],[Ventas]]/Indicadores[[#This Row],[Activos totales]],0)</f>
        <v>1.2466849332877223</v>
      </c>
    </row>
    <row r="148" spans="1:17" x14ac:dyDescent="0.35">
      <c r="A148" s="13" t="str">
        <f>MID(Indicadores[[#This Row],[CIIU]],2,4)</f>
        <v>2740</v>
      </c>
      <c r="B148" s="13" t="str">
        <f>Indicadores[[#This Row],[CIIU]]&amp;Indicadores[[#This Row],[Año]]</f>
        <v>C27402016</v>
      </c>
      <c r="C148" s="14" t="s">
        <v>2279</v>
      </c>
      <c r="D148" s="14" t="s">
        <v>2581</v>
      </c>
      <c r="E148" s="848">
        <v>2016</v>
      </c>
      <c r="F148" s="856" t="s">
        <v>2594</v>
      </c>
      <c r="G148" s="858" t="s">
        <v>2595</v>
      </c>
      <c r="H148" s="848" t="s">
        <v>2596</v>
      </c>
      <c r="I148" s="693" t="s">
        <v>2595</v>
      </c>
      <c r="J148" s="847">
        <v>24456013</v>
      </c>
      <c r="K148" s="847">
        <v>36400264</v>
      </c>
      <c r="L148" s="841">
        <v>405768826</v>
      </c>
      <c r="M148" s="847">
        <v>392331064</v>
      </c>
      <c r="N148" s="839">
        <f>Indicadores[[#This Row],[Ventas]]/Indicadores[[#This Row],[Activos totales]]</f>
        <v>0.96688320753354273</v>
      </c>
      <c r="O148" s="837">
        <f>IF(Indicadores[[#This Row],[Ventas]]=0,0,Indicadores[[#This Row],[EBITDA]]/Indicadores[[#This Row],[Ventas]])</f>
        <v>9.2779459339472542E-2</v>
      </c>
      <c r="P148" s="837">
        <f>IF(Indicadores[[#This Row],[Ventas]]=0,0,Indicadores[[#This Row],[UAI]]/Indicadores[[#This Row],[Ventas]])</f>
        <v>6.2335143056630356E-2</v>
      </c>
      <c r="Q148" s="837">
        <f>IFERROR(Indicadores[[#This Row],[Ventas]]/Indicadores[[#This Row],[Activos totales]],0)</f>
        <v>0.96688320753354273</v>
      </c>
    </row>
    <row r="149" spans="1:17" x14ac:dyDescent="0.35">
      <c r="A149" s="13" t="str">
        <f>MID(Indicadores[[#This Row],[CIIU]],2,4)</f>
        <v>2750</v>
      </c>
      <c r="B149" s="13" t="str">
        <f>Indicadores[[#This Row],[CIIU]]&amp;Indicadores[[#This Row],[Año]]</f>
        <v>C27502016</v>
      </c>
      <c r="C149" s="14" t="s">
        <v>2279</v>
      </c>
      <c r="D149" s="14" t="s">
        <v>2581</v>
      </c>
      <c r="E149" s="848">
        <v>2016</v>
      </c>
      <c r="F149" s="856" t="s">
        <v>2597</v>
      </c>
      <c r="G149" s="858" t="s">
        <v>2598</v>
      </c>
      <c r="H149" s="848" t="s">
        <v>2599</v>
      </c>
      <c r="I149" s="693" t="s">
        <v>2598</v>
      </c>
      <c r="J149" s="847">
        <v>50605016</v>
      </c>
      <c r="K149" s="847">
        <v>157549173</v>
      </c>
      <c r="L149" s="841">
        <v>2151195206</v>
      </c>
      <c r="M149" s="847">
        <v>2217896569</v>
      </c>
      <c r="N149" s="839">
        <f>Indicadores[[#This Row],[Ventas]]/Indicadores[[#This Row],[Activos totales]]</f>
        <v>1.0310066528662578</v>
      </c>
      <c r="O149" s="837">
        <f>IF(Indicadores[[#This Row],[Ventas]]=0,0,Indicadores[[#This Row],[EBITDA]]/Indicadores[[#This Row],[Ventas]])</f>
        <v>7.1035401380793603E-2</v>
      </c>
      <c r="P149" s="837">
        <f>IF(Indicadores[[#This Row],[Ventas]]=0,0,Indicadores[[#This Row],[UAI]]/Indicadores[[#This Row],[Ventas]])</f>
        <v>2.2816670852607284E-2</v>
      </c>
      <c r="Q149" s="837">
        <f>IFERROR(Indicadores[[#This Row],[Ventas]]/Indicadores[[#This Row],[Activos totales]],0)</f>
        <v>1.0310066528662578</v>
      </c>
    </row>
    <row r="150" spans="1:17" x14ac:dyDescent="0.35">
      <c r="A150" s="13" t="str">
        <f>MID(Indicadores[[#This Row],[CIIU]],2,4)</f>
        <v>2790</v>
      </c>
      <c r="B150" s="13" t="str">
        <f>Indicadores[[#This Row],[CIIU]]&amp;Indicadores[[#This Row],[Año]]</f>
        <v>C27902016</v>
      </c>
      <c r="C150" s="14" t="s">
        <v>2279</v>
      </c>
      <c r="D150" s="14" t="s">
        <v>2581</v>
      </c>
      <c r="E150" s="848">
        <v>2016</v>
      </c>
      <c r="F150" s="856" t="s">
        <v>2600</v>
      </c>
      <c r="G150" s="858" t="s">
        <v>2601</v>
      </c>
      <c r="H150" s="848" t="s">
        <v>2602</v>
      </c>
      <c r="I150" s="693" t="s">
        <v>2601</v>
      </c>
      <c r="J150" s="847">
        <v>28414415</v>
      </c>
      <c r="K150" s="847">
        <v>64923446</v>
      </c>
      <c r="L150" s="841">
        <v>871094255</v>
      </c>
      <c r="M150" s="847">
        <v>1189482243</v>
      </c>
      <c r="N150" s="839">
        <f>Indicadores[[#This Row],[Ventas]]/Indicadores[[#This Row],[Activos totales]]</f>
        <v>1.3655034873350187</v>
      </c>
      <c r="O150" s="837">
        <f>IF(Indicadores[[#This Row],[Ventas]]=0,0,Indicadores[[#This Row],[EBITDA]]/Indicadores[[#This Row],[Ventas]])</f>
        <v>5.4581265405237327E-2</v>
      </c>
      <c r="P150" s="837">
        <f>IF(Indicadores[[#This Row],[Ventas]]=0,0,Indicadores[[#This Row],[UAI]]/Indicadores[[#This Row],[Ventas]])</f>
        <v>2.3888053114887904E-2</v>
      </c>
      <c r="Q150" s="837">
        <f>IFERROR(Indicadores[[#This Row],[Ventas]]/Indicadores[[#This Row],[Activos totales]],0)</f>
        <v>1.3655034873350187</v>
      </c>
    </row>
    <row r="151" spans="1:17" x14ac:dyDescent="0.35">
      <c r="A151" s="13" t="str">
        <f>MID(Indicadores[[#This Row],[CIIU]],2,4)</f>
        <v>2811</v>
      </c>
      <c r="B151" s="13" t="str">
        <f>Indicadores[[#This Row],[CIIU]]&amp;Indicadores[[#This Row],[Año]]</f>
        <v>C28112016</v>
      </c>
      <c r="C151" s="14" t="s">
        <v>2279</v>
      </c>
      <c r="D151" s="14" t="s">
        <v>2603</v>
      </c>
      <c r="E151" s="848">
        <v>2016</v>
      </c>
      <c r="F151" s="856" t="s">
        <v>2604</v>
      </c>
      <c r="G151" s="857" t="e">
        <v>#N/A</v>
      </c>
      <c r="H151" s="848" t="s">
        <v>2605</v>
      </c>
      <c r="I151" s="693" t="s">
        <v>2606</v>
      </c>
      <c r="J151" s="847">
        <v>-3573707</v>
      </c>
      <c r="K151" s="847">
        <v>-1850017</v>
      </c>
      <c r="L151" s="841">
        <v>26611789</v>
      </c>
      <c r="M151" s="847">
        <v>15659907</v>
      </c>
      <c r="N151" s="839">
        <f>Indicadores[[#This Row],[Ventas]]/Indicadores[[#This Row],[Activos totales]]</f>
        <v>0.58845750655846552</v>
      </c>
      <c r="O151" s="837">
        <f>IF(Indicadores[[#This Row],[Ventas]]=0,0,Indicadores[[#This Row],[EBITDA]]/Indicadores[[#This Row],[Ventas]])</f>
        <v>-0.11813716390525179</v>
      </c>
      <c r="P151" s="837">
        <f>IF(Indicadores[[#This Row],[Ventas]]=0,0,Indicadores[[#This Row],[UAI]]/Indicadores[[#This Row],[Ventas]])</f>
        <v>-0.22820742166604183</v>
      </c>
      <c r="Q151" s="837">
        <f>IFERROR(Indicadores[[#This Row],[Ventas]]/Indicadores[[#This Row],[Activos totales]],0)</f>
        <v>0.58845750655846552</v>
      </c>
    </row>
    <row r="152" spans="1:17" x14ac:dyDescent="0.35">
      <c r="A152" s="13" t="str">
        <f>MID(Indicadores[[#This Row],[CIIU]],2,4)</f>
        <v>2812</v>
      </c>
      <c r="B152" s="13" t="str">
        <f>Indicadores[[#This Row],[CIIU]]&amp;Indicadores[[#This Row],[Año]]</f>
        <v>C28122016</v>
      </c>
      <c r="C152" s="14" t="s">
        <v>2279</v>
      </c>
      <c r="D152" s="14" t="s">
        <v>2603</v>
      </c>
      <c r="E152" s="848">
        <v>2016</v>
      </c>
      <c r="F152" s="856" t="s">
        <v>2607</v>
      </c>
      <c r="G152" s="858" t="s">
        <v>2608</v>
      </c>
      <c r="H152" s="848" t="s">
        <v>2609</v>
      </c>
      <c r="I152" s="693" t="s">
        <v>2608</v>
      </c>
      <c r="J152" s="847">
        <v>536786</v>
      </c>
      <c r="K152" s="847">
        <v>1004393</v>
      </c>
      <c r="L152" s="841">
        <v>22544360</v>
      </c>
      <c r="M152" s="847">
        <v>17649150</v>
      </c>
      <c r="N152" s="839">
        <f>Indicadores[[#This Row],[Ventas]]/Indicadores[[#This Row],[Activos totales]]</f>
        <v>0.78286320835898648</v>
      </c>
      <c r="O152" s="837">
        <f>IF(Indicadores[[#This Row],[Ventas]]=0,0,Indicadores[[#This Row],[EBITDA]]/Indicadores[[#This Row],[Ventas]])</f>
        <v>5.6908859633466764E-2</v>
      </c>
      <c r="P152" s="837">
        <f>IF(Indicadores[[#This Row],[Ventas]]=0,0,Indicadores[[#This Row],[UAI]]/Indicadores[[#This Row],[Ventas]])</f>
        <v>3.0414269242428106E-2</v>
      </c>
      <c r="Q152" s="837">
        <f>IFERROR(Indicadores[[#This Row],[Ventas]]/Indicadores[[#This Row],[Activos totales]],0)</f>
        <v>0.78286320835898648</v>
      </c>
    </row>
    <row r="153" spans="1:17" x14ac:dyDescent="0.35">
      <c r="A153" s="13" t="str">
        <f>MID(Indicadores[[#This Row],[CIIU]],2,4)</f>
        <v>2813</v>
      </c>
      <c r="B153" s="13" t="str">
        <f>Indicadores[[#This Row],[CIIU]]&amp;Indicadores[[#This Row],[Año]]</f>
        <v>C28132016</v>
      </c>
      <c r="C153" s="14" t="s">
        <v>2279</v>
      </c>
      <c r="D153" s="14" t="s">
        <v>2603</v>
      </c>
      <c r="E153" s="848">
        <v>2016</v>
      </c>
      <c r="F153" s="856" t="s">
        <v>2610</v>
      </c>
      <c r="G153" s="858" t="s">
        <v>2611</v>
      </c>
      <c r="H153" s="848" t="s">
        <v>2612</v>
      </c>
      <c r="I153" s="693" t="s">
        <v>2611</v>
      </c>
      <c r="J153" s="847">
        <v>28045302</v>
      </c>
      <c r="K153" s="847">
        <v>37199295</v>
      </c>
      <c r="L153" s="841">
        <v>287352633</v>
      </c>
      <c r="M153" s="847">
        <v>272721374</v>
      </c>
      <c r="N153" s="839">
        <f>Indicadores[[#This Row],[Ventas]]/Indicadores[[#This Row],[Activos totales]]</f>
        <v>0.94908256504474064</v>
      </c>
      <c r="O153" s="837">
        <f>IF(Indicadores[[#This Row],[Ventas]]=0,0,Indicadores[[#This Row],[EBITDA]]/Indicadores[[#This Row],[Ventas]])</f>
        <v>0.13640036515803122</v>
      </c>
      <c r="P153" s="837">
        <f>IF(Indicadores[[#This Row],[Ventas]]=0,0,Indicadores[[#This Row],[UAI]]/Indicadores[[#This Row],[Ventas]])</f>
        <v>0.10283499818389738</v>
      </c>
      <c r="Q153" s="837">
        <f>IFERROR(Indicadores[[#This Row],[Ventas]]/Indicadores[[#This Row],[Activos totales]],0)</f>
        <v>0.94908256504474064</v>
      </c>
    </row>
    <row r="154" spans="1:17" x14ac:dyDescent="0.35">
      <c r="A154" s="13" t="str">
        <f>MID(Indicadores[[#This Row],[CIIU]],2,4)</f>
        <v>2815</v>
      </c>
      <c r="B154" s="13" t="str">
        <f>Indicadores[[#This Row],[CIIU]]&amp;Indicadores[[#This Row],[Año]]</f>
        <v>C28152016</v>
      </c>
      <c r="C154" s="14" t="s">
        <v>2279</v>
      </c>
      <c r="D154" s="14" t="s">
        <v>2603</v>
      </c>
      <c r="E154" s="848">
        <v>2016</v>
      </c>
      <c r="F154" s="856" t="s">
        <v>2613</v>
      </c>
      <c r="G154" s="858" t="s">
        <v>2614</v>
      </c>
      <c r="H154" s="848" t="s">
        <v>2615</v>
      </c>
      <c r="I154" s="693" t="s">
        <v>2614</v>
      </c>
      <c r="J154" s="847">
        <v>538467</v>
      </c>
      <c r="K154" s="847">
        <v>1590721</v>
      </c>
      <c r="L154" s="841">
        <v>10540715</v>
      </c>
      <c r="M154" s="847">
        <v>12868547</v>
      </c>
      <c r="N154" s="839">
        <f>Indicadores[[#This Row],[Ventas]]/Indicadores[[#This Row],[Activos totales]]</f>
        <v>1.220841944782683</v>
      </c>
      <c r="O154" s="837">
        <f>IF(Indicadores[[#This Row],[Ventas]]=0,0,Indicadores[[#This Row],[EBITDA]]/Indicadores[[#This Row],[Ventas]])</f>
        <v>0.1236131009973387</v>
      </c>
      <c r="P154" s="837">
        <f>IF(Indicadores[[#This Row],[Ventas]]=0,0,Indicadores[[#This Row],[UAI]]/Indicadores[[#This Row],[Ventas]])</f>
        <v>4.1843651812438501E-2</v>
      </c>
      <c r="Q154" s="837">
        <f>IFERROR(Indicadores[[#This Row],[Ventas]]/Indicadores[[#This Row],[Activos totales]],0)</f>
        <v>1.220841944782683</v>
      </c>
    </row>
    <row r="155" spans="1:17" x14ac:dyDescent="0.35">
      <c r="A155" s="13" t="str">
        <f>MID(Indicadores[[#This Row],[CIIU]],2,4)</f>
        <v>2816</v>
      </c>
      <c r="B155" s="13" t="str">
        <f>Indicadores[[#This Row],[CIIU]]&amp;Indicadores[[#This Row],[Año]]</f>
        <v>C28162016</v>
      </c>
      <c r="C155" s="14" t="s">
        <v>2279</v>
      </c>
      <c r="D155" s="14" t="s">
        <v>2603</v>
      </c>
      <c r="E155" s="848">
        <v>2016</v>
      </c>
      <c r="F155" s="856" t="s">
        <v>2616</v>
      </c>
      <c r="G155" s="858" t="s">
        <v>2617</v>
      </c>
      <c r="H155" s="848" t="s">
        <v>2618</v>
      </c>
      <c r="I155" s="693" t="s">
        <v>2617</v>
      </c>
      <c r="J155" s="847">
        <v>2214069</v>
      </c>
      <c r="K155" s="847">
        <v>7152275</v>
      </c>
      <c r="L155" s="841">
        <v>136025693</v>
      </c>
      <c r="M155" s="847">
        <v>147645154</v>
      </c>
      <c r="N155" s="839">
        <f>Indicadores[[#This Row],[Ventas]]/Indicadores[[#This Row],[Activos totales]]</f>
        <v>1.0854210755610707</v>
      </c>
      <c r="O155" s="837">
        <f>IF(Indicadores[[#This Row],[Ventas]]=0,0,Indicadores[[#This Row],[EBITDA]]/Indicadores[[#This Row],[Ventas]])</f>
        <v>4.8442328151183343E-2</v>
      </c>
      <c r="P155" s="837">
        <f>IF(Indicadores[[#This Row],[Ventas]]=0,0,Indicadores[[#This Row],[UAI]]/Indicadores[[#This Row],[Ventas]])</f>
        <v>1.4995879918957584E-2</v>
      </c>
      <c r="Q155" s="837">
        <f>IFERROR(Indicadores[[#This Row],[Ventas]]/Indicadores[[#This Row],[Activos totales]],0)</f>
        <v>1.0854210755610707</v>
      </c>
    </row>
    <row r="156" spans="1:17" x14ac:dyDescent="0.35">
      <c r="A156" s="13" t="str">
        <f>MID(Indicadores[[#This Row],[CIIU]],2,4)</f>
        <v>2819</v>
      </c>
      <c r="B156" s="13" t="str">
        <f>Indicadores[[#This Row],[CIIU]]&amp;Indicadores[[#This Row],[Año]]</f>
        <v>C28192016</v>
      </c>
      <c r="C156" s="14" t="s">
        <v>2279</v>
      </c>
      <c r="D156" s="14" t="s">
        <v>2603</v>
      </c>
      <c r="E156" s="848">
        <v>2016</v>
      </c>
      <c r="F156" s="856" t="s">
        <v>2619</v>
      </c>
      <c r="G156" s="858" t="s">
        <v>2620</v>
      </c>
      <c r="H156" s="848" t="s">
        <v>2621</v>
      </c>
      <c r="I156" s="693" t="s">
        <v>2620</v>
      </c>
      <c r="J156" s="847">
        <v>37796124</v>
      </c>
      <c r="K156" s="847">
        <v>53523908</v>
      </c>
      <c r="L156" s="841">
        <v>606857431</v>
      </c>
      <c r="M156" s="847">
        <v>573795880</v>
      </c>
      <c r="N156" s="839">
        <f>Indicadores[[#This Row],[Ventas]]/Indicadores[[#This Row],[Activos totales]]</f>
        <v>0.9455200689468034</v>
      </c>
      <c r="O156" s="837">
        <f>IF(Indicadores[[#This Row],[Ventas]]=0,0,Indicadores[[#This Row],[EBITDA]]/Indicadores[[#This Row],[Ventas]])</f>
        <v>9.328039790038227E-2</v>
      </c>
      <c r="P156" s="837">
        <f>IF(Indicadores[[#This Row],[Ventas]]=0,0,Indicadores[[#This Row],[UAI]]/Indicadores[[#This Row],[Ventas]])</f>
        <v>6.5870330055349993E-2</v>
      </c>
      <c r="Q156" s="837">
        <f>IFERROR(Indicadores[[#This Row],[Ventas]]/Indicadores[[#This Row],[Activos totales]],0)</f>
        <v>0.9455200689468034</v>
      </c>
    </row>
    <row r="157" spans="1:17" x14ac:dyDescent="0.35">
      <c r="A157" s="13" t="str">
        <f>MID(Indicadores[[#This Row],[CIIU]],2,4)</f>
        <v>2821</v>
      </c>
      <c r="B157" s="13" t="str">
        <f>Indicadores[[#This Row],[CIIU]]&amp;Indicadores[[#This Row],[Año]]</f>
        <v>C28212016</v>
      </c>
      <c r="C157" s="14" t="s">
        <v>2279</v>
      </c>
      <c r="D157" s="14" t="s">
        <v>2603</v>
      </c>
      <c r="E157" s="848">
        <v>2016</v>
      </c>
      <c r="F157" s="856" t="s">
        <v>2622</v>
      </c>
      <c r="G157" s="858" t="s">
        <v>2623</v>
      </c>
      <c r="H157" s="848" t="s">
        <v>2624</v>
      </c>
      <c r="I157" s="693" t="s">
        <v>2623</v>
      </c>
      <c r="J157" s="847">
        <v>20802381</v>
      </c>
      <c r="K157" s="847">
        <v>23463706</v>
      </c>
      <c r="L157" s="841">
        <v>116117392</v>
      </c>
      <c r="M157" s="847">
        <v>140485809</v>
      </c>
      <c r="N157" s="839">
        <f>Indicadores[[#This Row],[Ventas]]/Indicadores[[#This Row],[Activos totales]]</f>
        <v>1.2098601818408048</v>
      </c>
      <c r="O157" s="837">
        <f>IF(Indicadores[[#This Row],[Ventas]]=0,0,Indicadores[[#This Row],[EBITDA]]/Indicadores[[#This Row],[Ventas]])</f>
        <v>0.1670183356384416</v>
      </c>
      <c r="P157" s="837">
        <f>IF(Indicadores[[#This Row],[Ventas]]=0,0,Indicadores[[#This Row],[UAI]]/Indicadores[[#This Row],[Ventas]])</f>
        <v>0.14807460730784558</v>
      </c>
      <c r="Q157" s="837">
        <f>IFERROR(Indicadores[[#This Row],[Ventas]]/Indicadores[[#This Row],[Activos totales]],0)</f>
        <v>1.2098601818408048</v>
      </c>
    </row>
    <row r="158" spans="1:17" x14ac:dyDescent="0.35">
      <c r="A158" s="13" t="str">
        <f>MID(Indicadores[[#This Row],[CIIU]],2,4)</f>
        <v>2822</v>
      </c>
      <c r="B158" s="13" t="str">
        <f>Indicadores[[#This Row],[CIIU]]&amp;Indicadores[[#This Row],[Año]]</f>
        <v>C28222016</v>
      </c>
      <c r="C158" s="14" t="s">
        <v>2279</v>
      </c>
      <c r="D158" s="14" t="s">
        <v>2603</v>
      </c>
      <c r="E158" s="848">
        <v>2016</v>
      </c>
      <c r="F158" s="856" t="s">
        <v>2625</v>
      </c>
      <c r="G158" s="858" t="s">
        <v>2626</v>
      </c>
      <c r="H158" s="848" t="s">
        <v>2627</v>
      </c>
      <c r="I158" s="693" t="s">
        <v>2626</v>
      </c>
      <c r="J158" s="847">
        <v>5327471</v>
      </c>
      <c r="K158" s="847">
        <v>7255353</v>
      </c>
      <c r="L158" s="841">
        <v>69703538</v>
      </c>
      <c r="M158" s="847">
        <v>33424729</v>
      </c>
      <c r="N158" s="839">
        <f>Indicadores[[#This Row],[Ventas]]/Indicadores[[#This Row],[Activos totales]]</f>
        <v>0.47952700765347089</v>
      </c>
      <c r="O158" s="837">
        <f>IF(Indicadores[[#This Row],[Ventas]]=0,0,Indicadores[[#This Row],[EBITDA]]/Indicadores[[#This Row],[Ventas]])</f>
        <v>0.2170654248236388</v>
      </c>
      <c r="P158" s="837">
        <f>IF(Indicadores[[#This Row],[Ventas]]=0,0,Indicadores[[#This Row],[UAI]]/Indicadores[[#This Row],[Ventas]])</f>
        <v>0.15938711126124613</v>
      </c>
      <c r="Q158" s="837">
        <f>IFERROR(Indicadores[[#This Row],[Ventas]]/Indicadores[[#This Row],[Activos totales]],0)</f>
        <v>0.47952700765347089</v>
      </c>
    </row>
    <row r="159" spans="1:17" x14ac:dyDescent="0.35">
      <c r="A159" s="13" t="str">
        <f>MID(Indicadores[[#This Row],[CIIU]],2,4)</f>
        <v>2823</v>
      </c>
      <c r="B159" s="13" t="str">
        <f>Indicadores[[#This Row],[CIIU]]&amp;Indicadores[[#This Row],[Año]]</f>
        <v>C28232016</v>
      </c>
      <c r="C159" s="14" t="s">
        <v>2279</v>
      </c>
      <c r="D159" s="14" t="s">
        <v>2603</v>
      </c>
      <c r="E159" s="848">
        <v>2016</v>
      </c>
      <c r="F159" s="856" t="s">
        <v>2628</v>
      </c>
      <c r="G159" s="858" t="s">
        <v>2629</v>
      </c>
      <c r="H159" s="848" t="s">
        <v>2630</v>
      </c>
      <c r="I159" s="693" t="s">
        <v>2629</v>
      </c>
      <c r="J159" s="847">
        <v>315019</v>
      </c>
      <c r="K159" s="847">
        <v>944034</v>
      </c>
      <c r="L159" s="841">
        <v>8887489</v>
      </c>
      <c r="M159" s="847">
        <v>3938682</v>
      </c>
      <c r="N159" s="839">
        <f>Indicadores[[#This Row],[Ventas]]/Indicadores[[#This Row],[Activos totales]]</f>
        <v>0.4431715189745945</v>
      </c>
      <c r="O159" s="837">
        <f>IF(Indicadores[[#This Row],[Ventas]]=0,0,Indicadores[[#This Row],[EBITDA]]/Indicadores[[#This Row],[Ventas]])</f>
        <v>0.23968271619795659</v>
      </c>
      <c r="P159" s="837">
        <f>IF(Indicadores[[#This Row],[Ventas]]=0,0,Indicadores[[#This Row],[UAI]]/Indicadores[[#This Row],[Ventas]])</f>
        <v>7.9980815917608986E-2</v>
      </c>
      <c r="Q159" s="837">
        <f>IFERROR(Indicadores[[#This Row],[Ventas]]/Indicadores[[#This Row],[Activos totales]],0)</f>
        <v>0.4431715189745945</v>
      </c>
    </row>
    <row r="160" spans="1:17" x14ac:dyDescent="0.35">
      <c r="A160" s="13" t="str">
        <f>MID(Indicadores[[#This Row],[CIIU]],2,4)</f>
        <v>2824</v>
      </c>
      <c r="B160" s="13" t="str">
        <f>Indicadores[[#This Row],[CIIU]]&amp;Indicadores[[#This Row],[Año]]</f>
        <v>C28242016</v>
      </c>
      <c r="C160" s="14" t="s">
        <v>2279</v>
      </c>
      <c r="D160" s="14" t="s">
        <v>2603</v>
      </c>
      <c r="E160" s="848">
        <v>2016</v>
      </c>
      <c r="F160" s="856" t="s">
        <v>2631</v>
      </c>
      <c r="G160" s="858" t="s">
        <v>2632</v>
      </c>
      <c r="H160" s="848" t="s">
        <v>2633</v>
      </c>
      <c r="I160" s="693" t="s">
        <v>2632</v>
      </c>
      <c r="J160" s="847">
        <v>2603040</v>
      </c>
      <c r="K160" s="847">
        <v>6230152</v>
      </c>
      <c r="L160" s="841">
        <v>63150952</v>
      </c>
      <c r="M160" s="847">
        <v>73847904</v>
      </c>
      <c r="N160" s="839">
        <f>Indicadores[[#This Row],[Ventas]]/Indicadores[[#This Row],[Activos totales]]</f>
        <v>1.1693870268179014</v>
      </c>
      <c r="O160" s="837">
        <f>IF(Indicadores[[#This Row],[Ventas]]=0,0,Indicadores[[#This Row],[EBITDA]]/Indicadores[[#This Row],[Ventas]])</f>
        <v>8.4364642224645944E-2</v>
      </c>
      <c r="P160" s="837">
        <f>IF(Indicadores[[#This Row],[Ventas]]=0,0,Indicadores[[#This Row],[UAI]]/Indicadores[[#This Row],[Ventas]])</f>
        <v>3.524866460664882E-2</v>
      </c>
      <c r="Q160" s="837">
        <f>IFERROR(Indicadores[[#This Row],[Ventas]]/Indicadores[[#This Row],[Activos totales]],0)</f>
        <v>1.1693870268179014</v>
      </c>
    </row>
    <row r="161" spans="1:17" x14ac:dyDescent="0.35">
      <c r="A161" s="13" t="str">
        <f>MID(Indicadores[[#This Row],[CIIU]],2,4)</f>
        <v>2825</v>
      </c>
      <c r="B161" s="13" t="str">
        <f>Indicadores[[#This Row],[CIIU]]&amp;Indicadores[[#This Row],[Año]]</f>
        <v>C28252016</v>
      </c>
      <c r="C161" s="14" t="s">
        <v>2279</v>
      </c>
      <c r="D161" s="14" t="s">
        <v>2603</v>
      </c>
      <c r="E161" s="848">
        <v>2016</v>
      </c>
      <c r="F161" s="856" t="s">
        <v>2634</v>
      </c>
      <c r="G161" s="858" t="s">
        <v>2635</v>
      </c>
      <c r="H161" s="848" t="s">
        <v>2636</v>
      </c>
      <c r="I161" s="693" t="s">
        <v>2635</v>
      </c>
      <c r="J161" s="847">
        <v>4759014</v>
      </c>
      <c r="K161" s="847">
        <v>10756275</v>
      </c>
      <c r="L161" s="841">
        <v>136237459</v>
      </c>
      <c r="M161" s="847">
        <v>88385344</v>
      </c>
      <c r="N161" s="839">
        <f>Indicadores[[#This Row],[Ventas]]/Indicadores[[#This Row],[Activos totales]]</f>
        <v>0.64875948691908591</v>
      </c>
      <c r="O161" s="837">
        <f>IF(Indicadores[[#This Row],[Ventas]]=0,0,Indicadores[[#This Row],[EBITDA]]/Indicadores[[#This Row],[Ventas]])</f>
        <v>0.12169749545807051</v>
      </c>
      <c r="P161" s="837">
        <f>IF(Indicadores[[#This Row],[Ventas]]=0,0,Indicadores[[#This Row],[UAI]]/Indicadores[[#This Row],[Ventas]])</f>
        <v>5.3843926884529637E-2</v>
      </c>
      <c r="Q161" s="837">
        <f>IFERROR(Indicadores[[#This Row],[Ventas]]/Indicadores[[#This Row],[Activos totales]],0)</f>
        <v>0.64875948691908591</v>
      </c>
    </row>
    <row r="162" spans="1:17" x14ac:dyDescent="0.35">
      <c r="A162" s="13" t="str">
        <f>MID(Indicadores[[#This Row],[CIIU]],2,4)</f>
        <v>2829</v>
      </c>
      <c r="B162" s="13" t="str">
        <f>Indicadores[[#This Row],[CIIU]]&amp;Indicadores[[#This Row],[Año]]</f>
        <v>C28292016</v>
      </c>
      <c r="C162" s="14" t="s">
        <v>2279</v>
      </c>
      <c r="D162" s="14" t="s">
        <v>2603</v>
      </c>
      <c r="E162" s="848">
        <v>2016</v>
      </c>
      <c r="F162" s="856" t="s">
        <v>2637</v>
      </c>
      <c r="G162" s="858" t="s">
        <v>2638</v>
      </c>
      <c r="H162" s="848" t="s">
        <v>2639</v>
      </c>
      <c r="I162" s="693" t="s">
        <v>2638</v>
      </c>
      <c r="J162" s="847">
        <v>-26264963</v>
      </c>
      <c r="K162" s="847">
        <v>-9893211</v>
      </c>
      <c r="L162" s="841">
        <v>547967319</v>
      </c>
      <c r="M162" s="847">
        <v>392828771</v>
      </c>
      <c r="N162" s="839">
        <f>Indicadores[[#This Row],[Ventas]]/Indicadores[[#This Row],[Activos totales]]</f>
        <v>0.71688357567908167</v>
      </c>
      <c r="O162" s="837">
        <f>IF(Indicadores[[#This Row],[Ventas]]=0,0,Indicadores[[#This Row],[EBITDA]]/Indicadores[[#This Row],[Ventas]])</f>
        <v>-2.5184537718088883E-2</v>
      </c>
      <c r="P162" s="837">
        <f>IF(Indicadores[[#This Row],[Ventas]]=0,0,Indicadores[[#This Row],[UAI]]/Indicadores[[#This Row],[Ventas]])</f>
        <v>-6.6861098114425019E-2</v>
      </c>
      <c r="Q162" s="837">
        <f>IFERROR(Indicadores[[#This Row],[Ventas]]/Indicadores[[#This Row],[Activos totales]],0)</f>
        <v>0.71688357567908167</v>
      </c>
    </row>
    <row r="163" spans="1:17" x14ac:dyDescent="0.35">
      <c r="A163" s="13" t="str">
        <f>MID(Indicadores[[#This Row],[CIIU]],2,4)</f>
        <v>2910</v>
      </c>
      <c r="B163" s="13" t="str">
        <f>Indicadores[[#This Row],[CIIU]]&amp;Indicadores[[#This Row],[Año]]</f>
        <v>C29102016</v>
      </c>
      <c r="C163" s="14" t="s">
        <v>2279</v>
      </c>
      <c r="D163" s="14" t="s">
        <v>2640</v>
      </c>
      <c r="E163" s="848">
        <v>2016</v>
      </c>
      <c r="F163" s="856" t="s">
        <v>2641</v>
      </c>
      <c r="G163" s="857" t="s">
        <v>2642</v>
      </c>
      <c r="H163" s="848" t="s">
        <v>2643</v>
      </c>
      <c r="I163" s="693" t="s">
        <v>2642</v>
      </c>
      <c r="J163" s="847">
        <v>295509079</v>
      </c>
      <c r="K163" s="847">
        <v>291937629</v>
      </c>
      <c r="L163" s="841">
        <v>2306887841</v>
      </c>
      <c r="M163" s="847">
        <v>5885513048</v>
      </c>
      <c r="N163" s="839">
        <f>Indicadores[[#This Row],[Ventas]]/Indicadores[[#This Row],[Activos totales]]</f>
        <v>2.5512783688038869</v>
      </c>
      <c r="O163" s="837">
        <f>IF(Indicadores[[#This Row],[Ventas]]=0,0,Indicadores[[#This Row],[EBITDA]]/Indicadores[[#This Row],[Ventas]])</f>
        <v>4.9602749432219082E-2</v>
      </c>
      <c r="P163" s="837">
        <f>IF(Indicadores[[#This Row],[Ventas]]=0,0,Indicadores[[#This Row],[UAI]]/Indicadores[[#This Row],[Ventas]])</f>
        <v>5.0209569937223933E-2</v>
      </c>
      <c r="Q163" s="837">
        <f>IFERROR(Indicadores[[#This Row],[Ventas]]/Indicadores[[#This Row],[Activos totales]],0)</f>
        <v>2.5512783688038869</v>
      </c>
    </row>
    <row r="164" spans="1:17" x14ac:dyDescent="0.35">
      <c r="A164" s="13" t="str">
        <f>MID(Indicadores[[#This Row],[CIIU]],2,4)</f>
        <v>2920</v>
      </c>
      <c r="B164" s="13" t="str">
        <f>Indicadores[[#This Row],[CIIU]]&amp;Indicadores[[#This Row],[Año]]</f>
        <v>C29202016</v>
      </c>
      <c r="C164" s="14" t="s">
        <v>2279</v>
      </c>
      <c r="D164" s="14" t="s">
        <v>2640</v>
      </c>
      <c r="E164" s="848">
        <v>2016</v>
      </c>
      <c r="F164" s="856" t="s">
        <v>2644</v>
      </c>
      <c r="G164" s="858" t="s">
        <v>2645</v>
      </c>
      <c r="H164" s="848" t="s">
        <v>2646</v>
      </c>
      <c r="I164" s="693" t="s">
        <v>2647</v>
      </c>
      <c r="J164" s="847">
        <v>41777750</v>
      </c>
      <c r="K164" s="847">
        <v>69578337</v>
      </c>
      <c r="L164" s="841">
        <v>721208129</v>
      </c>
      <c r="M164" s="847">
        <v>571076512</v>
      </c>
      <c r="N164" s="839">
        <f>Indicadores[[#This Row],[Ventas]]/Indicadores[[#This Row],[Activos totales]]</f>
        <v>0.79183316027210227</v>
      </c>
      <c r="O164" s="837">
        <f>IF(Indicadores[[#This Row],[Ventas]]=0,0,Indicadores[[#This Row],[EBITDA]]/Indicadores[[#This Row],[Ventas]])</f>
        <v>0.12183715410799455</v>
      </c>
      <c r="P164" s="837">
        <f>IF(Indicadores[[#This Row],[Ventas]]=0,0,Indicadores[[#This Row],[UAI]]/Indicadores[[#This Row],[Ventas]])</f>
        <v>7.3156134286958732E-2</v>
      </c>
      <c r="Q164" s="837">
        <f>IFERROR(Indicadores[[#This Row],[Ventas]]/Indicadores[[#This Row],[Activos totales]],0)</f>
        <v>0.79183316027210227</v>
      </c>
    </row>
    <row r="165" spans="1:17" x14ac:dyDescent="0.35">
      <c r="A165" s="13" t="str">
        <f>MID(Indicadores[[#This Row],[CIIU]],2,4)</f>
        <v>2930</v>
      </c>
      <c r="B165" s="13" t="str">
        <f>Indicadores[[#This Row],[CIIU]]&amp;Indicadores[[#This Row],[Año]]</f>
        <v>C29302016</v>
      </c>
      <c r="C165" s="14" t="s">
        <v>2279</v>
      </c>
      <c r="D165" s="14" t="s">
        <v>2640</v>
      </c>
      <c r="E165" s="848">
        <v>2016</v>
      </c>
      <c r="F165" s="856" t="s">
        <v>2648</v>
      </c>
      <c r="G165" s="858" t="s">
        <v>2649</v>
      </c>
      <c r="H165" s="848" t="s">
        <v>2650</v>
      </c>
      <c r="I165" s="693" t="s">
        <v>2649</v>
      </c>
      <c r="J165" s="847">
        <v>42994392</v>
      </c>
      <c r="K165" s="847">
        <v>195960163</v>
      </c>
      <c r="L165" s="841">
        <v>1457382470</v>
      </c>
      <c r="M165" s="847">
        <v>1287525636</v>
      </c>
      <c r="N165" s="839">
        <f>Indicadores[[#This Row],[Ventas]]/Indicadores[[#This Row],[Activos totales]]</f>
        <v>0.88345074989134453</v>
      </c>
      <c r="O165" s="837">
        <f>IF(Indicadores[[#This Row],[Ventas]]=0,0,Indicadores[[#This Row],[EBITDA]]/Indicadores[[#This Row],[Ventas]])</f>
        <v>0.15219903784502198</v>
      </c>
      <c r="P165" s="837">
        <f>IF(Indicadores[[#This Row],[Ventas]]=0,0,Indicadores[[#This Row],[UAI]]/Indicadores[[#This Row],[Ventas]])</f>
        <v>3.3393037620262189E-2</v>
      </c>
      <c r="Q165" s="837">
        <f>IFERROR(Indicadores[[#This Row],[Ventas]]/Indicadores[[#This Row],[Activos totales]],0)</f>
        <v>0.88345074989134453</v>
      </c>
    </row>
    <row r="166" spans="1:17" x14ac:dyDescent="0.35">
      <c r="A166" s="13" t="str">
        <f>MID(Indicadores[[#This Row],[CIIU]],2,4)</f>
        <v>3011</v>
      </c>
      <c r="B166" s="13" t="str">
        <f>Indicadores[[#This Row],[CIIU]]&amp;Indicadores[[#This Row],[Año]]</f>
        <v>C30112016</v>
      </c>
      <c r="C166" s="14" t="s">
        <v>2279</v>
      </c>
      <c r="D166" s="14" t="s">
        <v>2651</v>
      </c>
      <c r="E166" s="848">
        <v>2016</v>
      </c>
      <c r="F166" s="856" t="s">
        <v>2652</v>
      </c>
      <c r="G166" s="858" t="s">
        <v>2653</v>
      </c>
      <c r="H166" s="848" t="s">
        <v>2654</v>
      </c>
      <c r="I166" s="693" t="s">
        <v>2653</v>
      </c>
      <c r="J166" s="847">
        <v>1685653</v>
      </c>
      <c r="K166" s="847">
        <v>3954784</v>
      </c>
      <c r="L166" s="841">
        <v>102759384</v>
      </c>
      <c r="M166" s="847">
        <v>39705962</v>
      </c>
      <c r="N166" s="839">
        <f>Indicadores[[#This Row],[Ventas]]/Indicadores[[#This Row],[Activos totales]]</f>
        <v>0.38639743110955199</v>
      </c>
      <c r="O166" s="837">
        <f>IF(Indicadores[[#This Row],[Ventas]]=0,0,Indicadores[[#This Row],[EBITDA]]/Indicadores[[#This Row],[Ventas]])</f>
        <v>9.960176761363948E-2</v>
      </c>
      <c r="P166" s="837">
        <f>IF(Indicadores[[#This Row],[Ventas]]=0,0,Indicadores[[#This Row],[UAI]]/Indicadores[[#This Row],[Ventas]])</f>
        <v>4.2453397804591661E-2</v>
      </c>
      <c r="Q166" s="837">
        <f>IFERROR(Indicadores[[#This Row],[Ventas]]/Indicadores[[#This Row],[Activos totales]],0)</f>
        <v>0.38639743110955199</v>
      </c>
    </row>
    <row r="167" spans="1:17" x14ac:dyDescent="0.35">
      <c r="A167" s="13" t="str">
        <f>MID(Indicadores[[#This Row],[CIIU]],2,4)</f>
        <v>3012</v>
      </c>
      <c r="B167" s="13" t="str">
        <f>Indicadores[[#This Row],[CIIU]]&amp;Indicadores[[#This Row],[Año]]</f>
        <v>C30122016</v>
      </c>
      <c r="C167" s="14" t="s">
        <v>2279</v>
      </c>
      <c r="D167" s="14" t="s">
        <v>2651</v>
      </c>
      <c r="E167" s="848">
        <v>2016</v>
      </c>
      <c r="F167" s="856" t="s">
        <v>2655</v>
      </c>
      <c r="G167" s="858" t="s">
        <v>2656</v>
      </c>
      <c r="H167" s="848" t="s">
        <v>2657</v>
      </c>
      <c r="I167" s="693" t="s">
        <v>2656</v>
      </c>
      <c r="J167" s="847">
        <v>15356319</v>
      </c>
      <c r="K167" s="847">
        <v>13025650</v>
      </c>
      <c r="L167" s="841">
        <v>83416487</v>
      </c>
      <c r="M167" s="847">
        <v>59218380</v>
      </c>
      <c r="N167" s="839">
        <f>Indicadores[[#This Row],[Ventas]]/Indicadores[[#This Row],[Activos totales]]</f>
        <v>0.70991217839226439</v>
      </c>
      <c r="O167" s="837">
        <f>IF(Indicadores[[#This Row],[Ventas]]=0,0,Indicadores[[#This Row],[EBITDA]]/Indicadores[[#This Row],[Ventas]])</f>
        <v>0.21995958011684885</v>
      </c>
      <c r="P167" s="837">
        <f>IF(Indicadores[[#This Row],[Ventas]]=0,0,Indicadores[[#This Row],[UAI]]/Indicadores[[#This Row],[Ventas]])</f>
        <v>0.25931676955701927</v>
      </c>
      <c r="Q167" s="837">
        <f>IFERROR(Indicadores[[#This Row],[Ventas]]/Indicadores[[#This Row],[Activos totales]],0)</f>
        <v>0.70991217839226439</v>
      </c>
    </row>
    <row r="168" spans="1:17" x14ac:dyDescent="0.35">
      <c r="A168" s="13" t="str">
        <f>MID(Indicadores[[#This Row],[CIIU]],2,4)</f>
        <v>3030</v>
      </c>
      <c r="B168" s="13" t="str">
        <f>Indicadores[[#This Row],[CIIU]]&amp;Indicadores[[#This Row],[Año]]</f>
        <v>C30302016</v>
      </c>
      <c r="C168" s="14" t="s">
        <v>2279</v>
      </c>
      <c r="D168" s="14" t="s">
        <v>2651</v>
      </c>
      <c r="E168" s="848">
        <v>2016</v>
      </c>
      <c r="F168" s="856" t="s">
        <v>2658</v>
      </c>
      <c r="G168" s="858" t="s">
        <v>2659</v>
      </c>
      <c r="H168" s="848" t="s">
        <v>2660</v>
      </c>
      <c r="I168" s="693" t="s">
        <v>2659</v>
      </c>
      <c r="J168" s="847">
        <v>-10242450</v>
      </c>
      <c r="K168" s="847">
        <v>-9425008</v>
      </c>
      <c r="L168" s="841">
        <v>62490405</v>
      </c>
      <c r="M168" s="847">
        <v>11964527</v>
      </c>
      <c r="N168" s="839">
        <f>Indicadores[[#This Row],[Ventas]]/Indicadores[[#This Row],[Activos totales]]</f>
        <v>0.19146182521940769</v>
      </c>
      <c r="O168" s="837">
        <f>IF(Indicadores[[#This Row],[Ventas]]=0,0,Indicadores[[#This Row],[EBITDA]]/Indicadores[[#This Row],[Ventas]])</f>
        <v>-0.7877459760841361</v>
      </c>
      <c r="P168" s="837">
        <f>IF(Indicadores[[#This Row],[Ventas]]=0,0,Indicadores[[#This Row],[UAI]]/Indicadores[[#This Row],[Ventas]])</f>
        <v>-0.85606810866823235</v>
      </c>
      <c r="Q168" s="837">
        <f>IFERROR(Indicadores[[#This Row],[Ventas]]/Indicadores[[#This Row],[Activos totales]],0)</f>
        <v>0.19146182521940769</v>
      </c>
    </row>
    <row r="169" spans="1:17" x14ac:dyDescent="0.35">
      <c r="A169" s="13" t="str">
        <f>MID(Indicadores[[#This Row],[CIIU]],2,4)</f>
        <v>3091</v>
      </c>
      <c r="B169" s="13" t="str">
        <f>Indicadores[[#This Row],[CIIU]]&amp;Indicadores[[#This Row],[Año]]</f>
        <v>C30912016</v>
      </c>
      <c r="C169" s="14" t="s">
        <v>2279</v>
      </c>
      <c r="D169" s="14" t="s">
        <v>2651</v>
      </c>
      <c r="E169" s="848">
        <v>2016</v>
      </c>
      <c r="F169" s="856" t="s">
        <v>2661</v>
      </c>
      <c r="G169" s="858" t="s">
        <v>2662</v>
      </c>
      <c r="H169" s="848" t="s">
        <v>2663</v>
      </c>
      <c r="I169" s="693" t="s">
        <v>2662</v>
      </c>
      <c r="J169" s="847">
        <v>114887461</v>
      </c>
      <c r="K169" s="847">
        <v>163915282</v>
      </c>
      <c r="L169" s="841">
        <v>2520218266</v>
      </c>
      <c r="M169" s="847">
        <v>3045519778</v>
      </c>
      <c r="N169" s="839">
        <f>Indicadores[[#This Row],[Ventas]]/Indicadores[[#This Row],[Activos totales]]</f>
        <v>1.2084349276754269</v>
      </c>
      <c r="O169" s="837">
        <f>IF(Indicadores[[#This Row],[Ventas]]=0,0,Indicadores[[#This Row],[EBITDA]]/Indicadores[[#This Row],[Ventas]])</f>
        <v>5.3821775574757078E-2</v>
      </c>
      <c r="P169" s="837">
        <f>IF(Indicadores[[#This Row],[Ventas]]=0,0,Indicadores[[#This Row],[UAI]]/Indicadores[[#This Row],[Ventas]])</f>
        <v>3.7723432902953227E-2</v>
      </c>
      <c r="Q169" s="837">
        <f>IFERROR(Indicadores[[#This Row],[Ventas]]/Indicadores[[#This Row],[Activos totales]],0)</f>
        <v>1.2084349276754269</v>
      </c>
    </row>
    <row r="170" spans="1:17" x14ac:dyDescent="0.35">
      <c r="A170" s="13" t="str">
        <f>MID(Indicadores[[#This Row],[CIIU]],2,4)</f>
        <v>3092</v>
      </c>
      <c r="B170" s="13" t="str">
        <f>Indicadores[[#This Row],[CIIU]]&amp;Indicadores[[#This Row],[Año]]</f>
        <v>C30922016</v>
      </c>
      <c r="C170" s="14" t="s">
        <v>2279</v>
      </c>
      <c r="D170" s="14" t="s">
        <v>2651</v>
      </c>
      <c r="E170" s="848">
        <v>2016</v>
      </c>
      <c r="F170" s="856" t="s">
        <v>2664</v>
      </c>
      <c r="G170" s="857" t="s">
        <v>2665</v>
      </c>
      <c r="H170" s="848" t="s">
        <v>2666</v>
      </c>
      <c r="I170" s="693" t="s">
        <v>2665</v>
      </c>
      <c r="J170" s="847">
        <v>1471203</v>
      </c>
      <c r="K170" s="847">
        <v>2929625</v>
      </c>
      <c r="L170" s="841">
        <v>38775722</v>
      </c>
      <c r="M170" s="847">
        <v>41334533</v>
      </c>
      <c r="N170" s="839">
        <f>Indicadores[[#This Row],[Ventas]]/Indicadores[[#This Row],[Activos totales]]</f>
        <v>1.0659900285028865</v>
      </c>
      <c r="O170" s="837">
        <f>IF(Indicadores[[#This Row],[Ventas]]=0,0,Indicadores[[#This Row],[EBITDA]]/Indicadores[[#This Row],[Ventas]])</f>
        <v>7.0875967075762047E-2</v>
      </c>
      <c r="P170" s="837">
        <f>IF(Indicadores[[#This Row],[Ventas]]=0,0,Indicadores[[#This Row],[UAI]]/Indicadores[[#This Row],[Ventas]])</f>
        <v>3.5592587921581209E-2</v>
      </c>
      <c r="Q170" s="837">
        <f>IFERROR(Indicadores[[#This Row],[Ventas]]/Indicadores[[#This Row],[Activos totales]],0)</f>
        <v>1.0659900285028865</v>
      </c>
    </row>
    <row r="171" spans="1:17" x14ac:dyDescent="0.35">
      <c r="A171" s="13" t="str">
        <f>MID(Indicadores[[#This Row],[CIIU]],2,4)</f>
        <v>3099</v>
      </c>
      <c r="B171" s="13" t="str">
        <f>Indicadores[[#This Row],[CIIU]]&amp;Indicadores[[#This Row],[Año]]</f>
        <v>C30992016</v>
      </c>
      <c r="C171" s="14" t="s">
        <v>2279</v>
      </c>
      <c r="D171" s="14" t="s">
        <v>2651</v>
      </c>
      <c r="E171" s="848">
        <v>2016</v>
      </c>
      <c r="F171" s="856" t="s">
        <v>2667</v>
      </c>
      <c r="G171" s="858" t="s">
        <v>2668</v>
      </c>
      <c r="H171" s="848" t="s">
        <v>2669</v>
      </c>
      <c r="I171" s="693" t="s">
        <v>2668</v>
      </c>
      <c r="J171" s="847">
        <v>52850</v>
      </c>
      <c r="K171" s="847">
        <v>81936</v>
      </c>
      <c r="L171" s="841">
        <v>1328547</v>
      </c>
      <c r="M171" s="847">
        <v>1541887</v>
      </c>
      <c r="N171" s="839">
        <f>Indicadores[[#This Row],[Ventas]]/Indicadores[[#This Row],[Activos totales]]</f>
        <v>1.1605814472502667</v>
      </c>
      <c r="O171" s="837">
        <f>IF(Indicadores[[#This Row],[Ventas]]=0,0,Indicadores[[#This Row],[EBITDA]]/Indicadores[[#This Row],[Ventas]])</f>
        <v>5.3140080952754645E-2</v>
      </c>
      <c r="P171" s="837">
        <f>IF(Indicadores[[#This Row],[Ventas]]=0,0,Indicadores[[#This Row],[UAI]]/Indicadores[[#This Row],[Ventas]])</f>
        <v>3.4276182366152645E-2</v>
      </c>
      <c r="Q171" s="837">
        <f>IFERROR(Indicadores[[#This Row],[Ventas]]/Indicadores[[#This Row],[Activos totales]],0)</f>
        <v>1.1605814472502667</v>
      </c>
    </row>
    <row r="172" spans="1:17" x14ac:dyDescent="0.35">
      <c r="A172" s="13" t="str">
        <f>MID(Indicadores[[#This Row],[CIIU]],2,4)</f>
        <v>3110</v>
      </c>
      <c r="B172" s="13" t="str">
        <f>Indicadores[[#This Row],[CIIU]]&amp;Indicadores[[#This Row],[Año]]</f>
        <v>C31102016</v>
      </c>
      <c r="C172" s="14" t="s">
        <v>2279</v>
      </c>
      <c r="D172" s="14" t="s">
        <v>2670</v>
      </c>
      <c r="E172" s="848">
        <v>2016</v>
      </c>
      <c r="F172" s="856" t="s">
        <v>2671</v>
      </c>
      <c r="G172" s="858" t="s">
        <v>2672</v>
      </c>
      <c r="H172" s="848" t="s">
        <v>2673</v>
      </c>
      <c r="I172" s="693" t="s">
        <v>2674</v>
      </c>
      <c r="J172" s="847">
        <v>48151273</v>
      </c>
      <c r="K172" s="847">
        <v>101079579</v>
      </c>
      <c r="L172" s="841">
        <v>1284856379</v>
      </c>
      <c r="M172" s="847">
        <v>1118926244</v>
      </c>
      <c r="N172" s="839">
        <f>Indicadores[[#This Row],[Ventas]]/Indicadores[[#This Row],[Activos totales]]</f>
        <v>0.87085705631228372</v>
      </c>
      <c r="O172" s="837">
        <f>IF(Indicadores[[#This Row],[Ventas]]=0,0,Indicadores[[#This Row],[EBITDA]]/Indicadores[[#This Row],[Ventas]])</f>
        <v>9.033623041913387E-2</v>
      </c>
      <c r="P172" s="837">
        <f>IF(Indicadores[[#This Row],[Ventas]]=0,0,Indicadores[[#This Row],[UAI]]/Indicadores[[#This Row],[Ventas]])</f>
        <v>4.3033464679375237E-2</v>
      </c>
      <c r="Q172" s="837">
        <f>IFERROR(Indicadores[[#This Row],[Ventas]]/Indicadores[[#This Row],[Activos totales]],0)</f>
        <v>0.87085705631228372</v>
      </c>
    </row>
    <row r="173" spans="1:17" x14ac:dyDescent="0.35">
      <c r="A173" s="13" t="str">
        <f>MID(Indicadores[[#This Row],[CIIU]],2,4)</f>
        <v>3120</v>
      </c>
      <c r="B173" s="13" t="str">
        <f>Indicadores[[#This Row],[CIIU]]&amp;Indicadores[[#This Row],[Año]]</f>
        <v>C31202016</v>
      </c>
      <c r="C173" s="14" t="s">
        <v>2279</v>
      </c>
      <c r="D173" s="14" t="s">
        <v>2670</v>
      </c>
      <c r="E173" s="848">
        <v>2016</v>
      </c>
      <c r="F173" s="856" t="s">
        <v>2675</v>
      </c>
      <c r="G173" s="858" t="s">
        <v>2676</v>
      </c>
      <c r="H173" s="848" t="s">
        <v>2677</v>
      </c>
      <c r="I173" s="693" t="s">
        <v>2676</v>
      </c>
      <c r="J173" s="847">
        <v>36256805</v>
      </c>
      <c r="K173" s="847">
        <v>60431515</v>
      </c>
      <c r="L173" s="841">
        <v>459558318</v>
      </c>
      <c r="M173" s="847">
        <v>556448590</v>
      </c>
      <c r="N173" s="839">
        <f>Indicadores[[#This Row],[Ventas]]/Indicadores[[#This Row],[Activos totales]]</f>
        <v>1.2108334637955569</v>
      </c>
      <c r="O173" s="837">
        <f>IF(Indicadores[[#This Row],[Ventas]]=0,0,Indicadores[[#This Row],[EBITDA]]/Indicadores[[#This Row],[Ventas]])</f>
        <v>0.10860215316566801</v>
      </c>
      <c r="P173" s="837">
        <f>IF(Indicadores[[#This Row],[Ventas]]=0,0,Indicadores[[#This Row],[UAI]]/Indicadores[[#This Row],[Ventas]])</f>
        <v>6.5157510777410721E-2</v>
      </c>
      <c r="Q173" s="837">
        <f>IFERROR(Indicadores[[#This Row],[Ventas]]/Indicadores[[#This Row],[Activos totales]],0)</f>
        <v>1.2108334637955569</v>
      </c>
    </row>
    <row r="174" spans="1:17" x14ac:dyDescent="0.35">
      <c r="A174" s="13" t="str">
        <f>MID(Indicadores[[#This Row],[CIIU]],2,4)</f>
        <v>3210</v>
      </c>
      <c r="B174" s="13" t="str">
        <f>Indicadores[[#This Row],[CIIU]]&amp;Indicadores[[#This Row],[Año]]</f>
        <v>C32102016</v>
      </c>
      <c r="C174" s="14" t="s">
        <v>2279</v>
      </c>
      <c r="D174" s="14" t="s">
        <v>2678</v>
      </c>
      <c r="E174" s="848">
        <v>2016</v>
      </c>
      <c r="F174" s="856" t="s">
        <v>2679</v>
      </c>
      <c r="G174" s="858" t="s">
        <v>2680</v>
      </c>
      <c r="H174" s="848" t="s">
        <v>2681</v>
      </c>
      <c r="I174" s="693" t="s">
        <v>2680</v>
      </c>
      <c r="J174" s="847">
        <v>22214679</v>
      </c>
      <c r="K174" s="847">
        <v>27031796</v>
      </c>
      <c r="L174" s="841">
        <v>315389863</v>
      </c>
      <c r="M174" s="847">
        <v>125752328</v>
      </c>
      <c r="N174" s="839">
        <f>Indicadores[[#This Row],[Ventas]]/Indicadores[[#This Row],[Activos totales]]</f>
        <v>0.39872025943966372</v>
      </c>
      <c r="O174" s="837">
        <f>IF(Indicadores[[#This Row],[Ventas]]=0,0,Indicadores[[#This Row],[EBITDA]]/Indicadores[[#This Row],[Ventas]])</f>
        <v>0.21496060096795983</v>
      </c>
      <c r="P174" s="837">
        <f>IF(Indicadores[[#This Row],[Ventas]]=0,0,Indicadores[[#This Row],[UAI]]/Indicadores[[#This Row],[Ventas]])</f>
        <v>0.17665421669171802</v>
      </c>
      <c r="Q174" s="837">
        <f>IFERROR(Indicadores[[#This Row],[Ventas]]/Indicadores[[#This Row],[Activos totales]],0)</f>
        <v>0.39872025943966372</v>
      </c>
    </row>
    <row r="175" spans="1:17" x14ac:dyDescent="0.35">
      <c r="A175" s="13" t="str">
        <f>MID(Indicadores[[#This Row],[CIIU]],2,4)</f>
        <v>3230</v>
      </c>
      <c r="B175" s="13" t="str">
        <f>Indicadores[[#This Row],[CIIU]]&amp;Indicadores[[#This Row],[Año]]</f>
        <v>C32302016</v>
      </c>
      <c r="C175" s="14" t="s">
        <v>2279</v>
      </c>
      <c r="D175" s="14" t="s">
        <v>2678</v>
      </c>
      <c r="E175" s="848">
        <v>2016</v>
      </c>
      <c r="F175" s="856" t="s">
        <v>2682</v>
      </c>
      <c r="G175" s="858" t="s">
        <v>2683</v>
      </c>
      <c r="H175" s="848" t="s">
        <v>2684</v>
      </c>
      <c r="I175" s="693" t="s">
        <v>2683</v>
      </c>
      <c r="J175" s="847">
        <v>950612</v>
      </c>
      <c r="K175" s="847">
        <v>1830530</v>
      </c>
      <c r="L175" s="841">
        <v>14376571</v>
      </c>
      <c r="M175" s="847">
        <v>7655474</v>
      </c>
      <c r="N175" s="839">
        <f>Indicadores[[#This Row],[Ventas]]/Indicadores[[#This Row],[Activos totales]]</f>
        <v>0.53249651811965459</v>
      </c>
      <c r="O175" s="837">
        <f>IF(Indicadores[[#This Row],[Ventas]]=0,0,Indicadores[[#This Row],[EBITDA]]/Indicadores[[#This Row],[Ventas]])</f>
        <v>0.23911386806355819</v>
      </c>
      <c r="P175" s="837">
        <f>IF(Indicadores[[#This Row],[Ventas]]=0,0,Indicadores[[#This Row],[UAI]]/Indicadores[[#This Row],[Ventas]])</f>
        <v>0.12417415303089005</v>
      </c>
      <c r="Q175" s="837">
        <f>IFERROR(Indicadores[[#This Row],[Ventas]]/Indicadores[[#This Row],[Activos totales]],0)</f>
        <v>0.53249651811965459</v>
      </c>
    </row>
    <row r="176" spans="1:17" x14ac:dyDescent="0.35">
      <c r="A176" s="13" t="str">
        <f>MID(Indicadores[[#This Row],[CIIU]],2,4)</f>
        <v>3240</v>
      </c>
      <c r="B176" s="13" t="str">
        <f>Indicadores[[#This Row],[CIIU]]&amp;Indicadores[[#This Row],[Año]]</f>
        <v>C32402016</v>
      </c>
      <c r="C176" s="14" t="s">
        <v>2279</v>
      </c>
      <c r="D176" s="14" t="s">
        <v>2678</v>
      </c>
      <c r="E176" s="848">
        <v>2016</v>
      </c>
      <c r="F176" s="856" t="s">
        <v>2685</v>
      </c>
      <c r="G176" s="858" t="s">
        <v>2686</v>
      </c>
      <c r="H176" s="848" t="s">
        <v>2687</v>
      </c>
      <c r="I176" s="693" t="s">
        <v>2686</v>
      </c>
      <c r="J176" s="847">
        <v>-166421</v>
      </c>
      <c r="K176" s="847">
        <v>4235695</v>
      </c>
      <c r="L176" s="841">
        <v>50905285</v>
      </c>
      <c r="M176" s="847">
        <v>34676956</v>
      </c>
      <c r="N176" s="839">
        <f>Indicadores[[#This Row],[Ventas]]/Indicadores[[#This Row],[Activos totales]]</f>
        <v>0.68120541904440768</v>
      </c>
      <c r="O176" s="837">
        <f>IF(Indicadores[[#This Row],[Ventas]]=0,0,Indicadores[[#This Row],[EBITDA]]/Indicadores[[#This Row],[Ventas]])</f>
        <v>0.1221472553703964</v>
      </c>
      <c r="P176" s="837">
        <f>IF(Indicadores[[#This Row],[Ventas]]=0,0,Indicadores[[#This Row],[UAI]]/Indicadores[[#This Row],[Ventas]])</f>
        <v>-4.7991813352936744E-3</v>
      </c>
      <c r="Q176" s="837">
        <f>IFERROR(Indicadores[[#This Row],[Ventas]]/Indicadores[[#This Row],[Activos totales]],0)</f>
        <v>0.68120541904440768</v>
      </c>
    </row>
    <row r="177" spans="1:17" x14ac:dyDescent="0.35">
      <c r="A177" s="13" t="str">
        <f>MID(Indicadores[[#This Row],[CIIU]],2,4)</f>
        <v>3250</v>
      </c>
      <c r="B177" s="13" t="str">
        <f>Indicadores[[#This Row],[CIIU]]&amp;Indicadores[[#This Row],[Año]]</f>
        <v>C32502016</v>
      </c>
      <c r="C177" s="14" t="s">
        <v>2279</v>
      </c>
      <c r="D177" s="14" t="s">
        <v>2678</v>
      </c>
      <c r="E177" s="848">
        <v>2016</v>
      </c>
      <c r="F177" s="856" t="s">
        <v>2688</v>
      </c>
      <c r="G177" s="858" t="s">
        <v>2689</v>
      </c>
      <c r="H177" s="848" t="s">
        <v>2690</v>
      </c>
      <c r="I177" s="693" t="s">
        <v>2689</v>
      </c>
      <c r="J177" s="847">
        <v>13964756</v>
      </c>
      <c r="K177" s="847">
        <v>42281421</v>
      </c>
      <c r="L177" s="841">
        <v>328849750</v>
      </c>
      <c r="M177" s="847">
        <v>287437758</v>
      </c>
      <c r="N177" s="839">
        <f>Indicadores[[#This Row],[Ventas]]/Indicadores[[#This Row],[Activos totales]]</f>
        <v>0.87407017338465365</v>
      </c>
      <c r="O177" s="837">
        <f>IF(Indicadores[[#This Row],[Ventas]]=0,0,Indicadores[[#This Row],[EBITDA]]/Indicadores[[#This Row],[Ventas]])</f>
        <v>0.147097657921476</v>
      </c>
      <c r="P177" s="837">
        <f>IF(Indicadores[[#This Row],[Ventas]]=0,0,Indicadores[[#This Row],[UAI]]/Indicadores[[#This Row],[Ventas]])</f>
        <v>4.8583582397689035E-2</v>
      </c>
      <c r="Q177" s="837">
        <f>IFERROR(Indicadores[[#This Row],[Ventas]]/Indicadores[[#This Row],[Activos totales]],0)</f>
        <v>0.87407017338465365</v>
      </c>
    </row>
    <row r="178" spans="1:17" x14ac:dyDescent="0.35">
      <c r="A178" s="13" t="str">
        <f>MID(Indicadores[[#This Row],[CIIU]],2,4)</f>
        <v>3290</v>
      </c>
      <c r="B178" s="13" t="str">
        <f>Indicadores[[#This Row],[CIIU]]&amp;Indicadores[[#This Row],[Año]]</f>
        <v>C32902016</v>
      </c>
      <c r="C178" s="14" t="s">
        <v>2279</v>
      </c>
      <c r="D178" s="14" t="s">
        <v>2678</v>
      </c>
      <c r="E178" s="848">
        <v>2016</v>
      </c>
      <c r="F178" s="856" t="s">
        <v>2691</v>
      </c>
      <c r="G178" s="858" t="s">
        <v>2692</v>
      </c>
      <c r="H178" s="848" t="s">
        <v>2693</v>
      </c>
      <c r="I178" s="693" t="s">
        <v>2692</v>
      </c>
      <c r="J178" s="847">
        <v>224897234</v>
      </c>
      <c r="K178" s="847">
        <v>306354296</v>
      </c>
      <c r="L178" s="841">
        <v>2990024206</v>
      </c>
      <c r="M178" s="847">
        <v>3042524826</v>
      </c>
      <c r="N178" s="839">
        <f>Indicadores[[#This Row],[Ventas]]/Indicadores[[#This Row],[Activos totales]]</f>
        <v>1.0175585936376865</v>
      </c>
      <c r="O178" s="837">
        <f>IF(Indicadores[[#This Row],[Ventas]]=0,0,Indicadores[[#This Row],[EBITDA]]/Indicadores[[#This Row],[Ventas]])</f>
        <v>0.1006908122431866</v>
      </c>
      <c r="P178" s="837">
        <f>IF(Indicadores[[#This Row],[Ventas]]=0,0,Indicadores[[#This Row],[UAI]]/Indicadores[[#This Row],[Ventas]])</f>
        <v>7.3917961844758989E-2</v>
      </c>
      <c r="Q178" s="837">
        <f>IFERROR(Indicadores[[#This Row],[Ventas]]/Indicadores[[#This Row],[Activos totales]],0)</f>
        <v>1.0175585936376865</v>
      </c>
    </row>
    <row r="179" spans="1:17" x14ac:dyDescent="0.35">
      <c r="A179" s="13" t="str">
        <f>MID(Indicadores[[#This Row],[CIIU]],2,4)</f>
        <v>3311</v>
      </c>
      <c r="B179" s="13" t="str">
        <f>Indicadores[[#This Row],[CIIU]]&amp;Indicadores[[#This Row],[Año]]</f>
        <v>C33112016</v>
      </c>
      <c r="C179" s="14" t="s">
        <v>2279</v>
      </c>
      <c r="D179" s="14" t="s">
        <v>2694</v>
      </c>
      <c r="E179" s="848">
        <v>2016</v>
      </c>
      <c r="F179" s="856" t="s">
        <v>2695</v>
      </c>
      <c r="G179" s="858" t="s">
        <v>2696</v>
      </c>
      <c r="H179" s="848" t="s">
        <v>2697</v>
      </c>
      <c r="I179" s="693" t="s">
        <v>2696</v>
      </c>
      <c r="J179" s="847">
        <v>7990786</v>
      </c>
      <c r="K179" s="847">
        <v>8971728</v>
      </c>
      <c r="L179" s="841">
        <v>74120397</v>
      </c>
      <c r="M179" s="847">
        <v>56834529</v>
      </c>
      <c r="N179" s="839">
        <f>Indicadores[[#This Row],[Ventas]]/Indicadores[[#This Row],[Activos totales]]</f>
        <v>0.76678662420008359</v>
      </c>
      <c r="O179" s="837">
        <f>IF(Indicadores[[#This Row],[Ventas]]=0,0,Indicadores[[#This Row],[EBITDA]]/Indicadores[[#This Row],[Ventas]])</f>
        <v>0.15785699570062417</v>
      </c>
      <c r="P179" s="837">
        <f>IF(Indicadores[[#This Row],[Ventas]]=0,0,Indicadores[[#This Row],[UAI]]/Indicadores[[#This Row],[Ventas]])</f>
        <v>0.14059738227090787</v>
      </c>
      <c r="Q179" s="837">
        <f>IFERROR(Indicadores[[#This Row],[Ventas]]/Indicadores[[#This Row],[Activos totales]],0)</f>
        <v>0.76678662420008359</v>
      </c>
    </row>
    <row r="180" spans="1:17" x14ac:dyDescent="0.35">
      <c r="A180" s="13" t="str">
        <f>MID(Indicadores[[#This Row],[CIIU]],2,4)</f>
        <v>3312</v>
      </c>
      <c r="B180" s="13" t="str">
        <f>Indicadores[[#This Row],[CIIU]]&amp;Indicadores[[#This Row],[Año]]</f>
        <v>C33122016</v>
      </c>
      <c r="C180" s="14" t="s">
        <v>2279</v>
      </c>
      <c r="D180" s="14" t="s">
        <v>2694</v>
      </c>
      <c r="E180" s="848">
        <v>2016</v>
      </c>
      <c r="F180" s="856" t="s">
        <v>2698</v>
      </c>
      <c r="G180" s="858" t="s">
        <v>2699</v>
      </c>
      <c r="H180" s="848" t="s">
        <v>2700</v>
      </c>
      <c r="I180" s="693" t="s">
        <v>2699</v>
      </c>
      <c r="J180" s="847">
        <v>126461170</v>
      </c>
      <c r="K180" s="847">
        <v>199562392</v>
      </c>
      <c r="L180" s="841">
        <v>1265008845</v>
      </c>
      <c r="M180" s="847">
        <v>1582832706</v>
      </c>
      <c r="N180" s="839">
        <f>Indicadores[[#This Row],[Ventas]]/Indicadores[[#This Row],[Activos totales]]</f>
        <v>1.2512424021825712</v>
      </c>
      <c r="O180" s="837">
        <f>IF(Indicadores[[#This Row],[Ventas]]=0,0,Indicadores[[#This Row],[EBITDA]]/Indicadores[[#This Row],[Ventas]])</f>
        <v>0.12607926993391302</v>
      </c>
      <c r="P180" s="837">
        <f>IF(Indicadores[[#This Row],[Ventas]]=0,0,Indicadores[[#This Row],[UAI]]/Indicadores[[#This Row],[Ventas]])</f>
        <v>7.9895474436829081E-2</v>
      </c>
      <c r="Q180" s="837">
        <f>IFERROR(Indicadores[[#This Row],[Ventas]]/Indicadores[[#This Row],[Activos totales]],0)</f>
        <v>1.2512424021825712</v>
      </c>
    </row>
    <row r="181" spans="1:17" x14ac:dyDescent="0.35">
      <c r="A181" s="13" t="str">
        <f>MID(Indicadores[[#This Row],[CIIU]],2,4)</f>
        <v>3313</v>
      </c>
      <c r="B181" s="13" t="str">
        <f>Indicadores[[#This Row],[CIIU]]&amp;Indicadores[[#This Row],[Año]]</f>
        <v>C33132016</v>
      </c>
      <c r="C181" s="14" t="s">
        <v>2279</v>
      </c>
      <c r="D181" s="14" t="s">
        <v>2694</v>
      </c>
      <c r="E181" s="848">
        <v>2016</v>
      </c>
      <c r="F181" s="856" t="s">
        <v>2701</v>
      </c>
      <c r="G181" s="858" t="s">
        <v>2702</v>
      </c>
      <c r="H181" s="848" t="s">
        <v>2703</v>
      </c>
      <c r="I181" s="693" t="s">
        <v>2702</v>
      </c>
      <c r="J181" s="847">
        <v>96347</v>
      </c>
      <c r="K181" s="847">
        <v>813077</v>
      </c>
      <c r="L181" s="841">
        <v>35406858</v>
      </c>
      <c r="M181" s="847">
        <v>29077269</v>
      </c>
      <c r="N181" s="839">
        <f>Indicadores[[#This Row],[Ventas]]/Indicadores[[#This Row],[Activos totales]]</f>
        <v>0.82123268322763909</v>
      </c>
      <c r="O181" s="837">
        <f>IF(Indicadores[[#This Row],[Ventas]]=0,0,Indicadores[[#This Row],[EBITDA]]/Indicadores[[#This Row],[Ventas]])</f>
        <v>2.7962632941903862E-2</v>
      </c>
      <c r="P181" s="837">
        <f>IF(Indicadores[[#This Row],[Ventas]]=0,0,Indicadores[[#This Row],[UAI]]/Indicadores[[#This Row],[Ventas]])</f>
        <v>3.3134817441073986E-3</v>
      </c>
      <c r="Q181" s="837">
        <f>IFERROR(Indicadores[[#This Row],[Ventas]]/Indicadores[[#This Row],[Activos totales]],0)</f>
        <v>0.82123268322763909</v>
      </c>
    </row>
    <row r="182" spans="1:17" x14ac:dyDescent="0.35">
      <c r="A182" s="13" t="str">
        <f>MID(Indicadores[[#This Row],[CIIU]],2,4)</f>
        <v>3314</v>
      </c>
      <c r="B182" s="13" t="str">
        <f>Indicadores[[#This Row],[CIIU]]&amp;Indicadores[[#This Row],[Año]]</f>
        <v>C33142016</v>
      </c>
      <c r="C182" s="14" t="s">
        <v>2279</v>
      </c>
      <c r="D182" s="14" t="s">
        <v>2694</v>
      </c>
      <c r="E182" s="848">
        <v>2016</v>
      </c>
      <c r="F182" s="856" t="s">
        <v>2704</v>
      </c>
      <c r="G182" s="858" t="s">
        <v>2705</v>
      </c>
      <c r="H182" s="848" t="s">
        <v>2706</v>
      </c>
      <c r="I182" s="693" t="s">
        <v>2705</v>
      </c>
      <c r="J182" s="847">
        <v>742190</v>
      </c>
      <c r="K182" s="847">
        <v>2726784</v>
      </c>
      <c r="L182" s="841">
        <v>92919993</v>
      </c>
      <c r="M182" s="847">
        <v>47257385</v>
      </c>
      <c r="N182" s="839">
        <f>Indicadores[[#This Row],[Ventas]]/Indicadores[[#This Row],[Activos totales]]</f>
        <v>0.50858145243295483</v>
      </c>
      <c r="O182" s="837">
        <f>IF(Indicadores[[#This Row],[Ventas]]=0,0,Indicadores[[#This Row],[EBITDA]]/Indicadores[[#This Row],[Ventas]])</f>
        <v>5.7700695880654421E-2</v>
      </c>
      <c r="P182" s="837">
        <f>IF(Indicadores[[#This Row],[Ventas]]=0,0,Indicadores[[#This Row],[UAI]]/Indicadores[[#This Row],[Ventas]])</f>
        <v>1.5705270192161499E-2</v>
      </c>
      <c r="Q182" s="837">
        <f>IFERROR(Indicadores[[#This Row],[Ventas]]/Indicadores[[#This Row],[Activos totales]],0)</f>
        <v>0.50858145243295483</v>
      </c>
    </row>
    <row r="183" spans="1:17" x14ac:dyDescent="0.35">
      <c r="A183" s="13" t="str">
        <f>MID(Indicadores[[#This Row],[CIIU]],2,4)</f>
        <v>3315</v>
      </c>
      <c r="B183" s="13" t="str">
        <f>Indicadores[[#This Row],[CIIU]]&amp;Indicadores[[#This Row],[Año]]</f>
        <v>C33152016</v>
      </c>
      <c r="C183" s="14" t="s">
        <v>2279</v>
      </c>
      <c r="D183" s="14" t="s">
        <v>2694</v>
      </c>
      <c r="E183" s="848">
        <v>2016</v>
      </c>
      <c r="F183" s="856" t="s">
        <v>2707</v>
      </c>
      <c r="G183" s="858" t="s">
        <v>2708</v>
      </c>
      <c r="H183" s="848" t="s">
        <v>2709</v>
      </c>
      <c r="I183" s="693" t="s">
        <v>2708</v>
      </c>
      <c r="J183" s="847">
        <v>12468437</v>
      </c>
      <c r="K183" s="847">
        <v>18095418</v>
      </c>
      <c r="L183" s="841">
        <v>128490633</v>
      </c>
      <c r="M183" s="847">
        <v>103999219</v>
      </c>
      <c r="N183" s="839">
        <f>Indicadores[[#This Row],[Ventas]]/Indicadores[[#This Row],[Activos totales]]</f>
        <v>0.80939144412184505</v>
      </c>
      <c r="O183" s="837">
        <f>IF(Indicadores[[#This Row],[Ventas]]=0,0,Indicadores[[#This Row],[EBITDA]]/Indicadores[[#This Row],[Ventas]])</f>
        <v>0.17399571048701817</v>
      </c>
      <c r="P183" s="837">
        <f>IF(Indicadores[[#This Row],[Ventas]]=0,0,Indicadores[[#This Row],[UAI]]/Indicadores[[#This Row],[Ventas]])</f>
        <v>0.1198897176333603</v>
      </c>
      <c r="Q183" s="837">
        <f>IFERROR(Indicadores[[#This Row],[Ventas]]/Indicadores[[#This Row],[Activos totales]],0)</f>
        <v>0.80939144412184505</v>
      </c>
    </row>
    <row r="184" spans="1:17" x14ac:dyDescent="0.35">
      <c r="A184" s="13" t="str">
        <f>MID(Indicadores[[#This Row],[CIIU]],2,4)</f>
        <v>3319</v>
      </c>
      <c r="B184" s="13" t="str">
        <f>Indicadores[[#This Row],[CIIU]]&amp;Indicadores[[#This Row],[Año]]</f>
        <v>C33192016</v>
      </c>
      <c r="C184" s="14" t="s">
        <v>2279</v>
      </c>
      <c r="D184" s="14" t="s">
        <v>2694</v>
      </c>
      <c r="E184" s="848">
        <v>2016</v>
      </c>
      <c r="F184" s="856" t="s">
        <v>2710</v>
      </c>
      <c r="G184" s="858" t="s">
        <v>2711</v>
      </c>
      <c r="H184" s="848" t="s">
        <v>2712</v>
      </c>
      <c r="I184" s="693" t="s">
        <v>2711</v>
      </c>
      <c r="J184" s="847">
        <v>4106036</v>
      </c>
      <c r="K184" s="847">
        <v>4979532</v>
      </c>
      <c r="L184" s="841">
        <v>17818077</v>
      </c>
      <c r="M184" s="847">
        <v>32652392</v>
      </c>
      <c r="N184" s="839">
        <f>Indicadores[[#This Row],[Ventas]]/Indicadores[[#This Row],[Activos totales]]</f>
        <v>1.8325429842962291</v>
      </c>
      <c r="O184" s="837">
        <f>IF(Indicadores[[#This Row],[Ventas]]=0,0,Indicadores[[#This Row],[EBITDA]]/Indicadores[[#This Row],[Ventas]])</f>
        <v>0.15250129301400031</v>
      </c>
      <c r="P184" s="837">
        <f>IF(Indicadores[[#This Row],[Ventas]]=0,0,Indicadores[[#This Row],[UAI]]/Indicadores[[#This Row],[Ventas]])</f>
        <v>0.12574992974481011</v>
      </c>
      <c r="Q184" s="837">
        <f>IFERROR(Indicadores[[#This Row],[Ventas]]/Indicadores[[#This Row],[Activos totales]],0)</f>
        <v>1.8325429842962291</v>
      </c>
    </row>
    <row r="185" spans="1:17" x14ac:dyDescent="0.35">
      <c r="A185" s="13" t="str">
        <f>MID(Indicadores[[#This Row],[CIIU]],2,4)</f>
        <v>3320</v>
      </c>
      <c r="B185" s="13" t="str">
        <f>Indicadores[[#This Row],[CIIU]]&amp;Indicadores[[#This Row],[Año]]</f>
        <v>C33202016</v>
      </c>
      <c r="C185" s="14" t="s">
        <v>2279</v>
      </c>
      <c r="D185" s="14" t="s">
        <v>2694</v>
      </c>
      <c r="E185" s="848">
        <v>2016</v>
      </c>
      <c r="F185" s="856" t="s">
        <v>2713</v>
      </c>
      <c r="G185" s="858" t="s">
        <v>2714</v>
      </c>
      <c r="H185" s="848" t="s">
        <v>2715</v>
      </c>
      <c r="I185" s="693" t="s">
        <v>2716</v>
      </c>
      <c r="J185" s="847">
        <v>-51815020</v>
      </c>
      <c r="K185" s="847">
        <v>-35585624</v>
      </c>
      <c r="L185" s="841">
        <v>273536787</v>
      </c>
      <c r="M185" s="847">
        <v>131361218</v>
      </c>
      <c r="N185" s="839">
        <f>Indicadores[[#This Row],[Ventas]]/Indicadores[[#This Row],[Activos totales]]</f>
        <v>0.48023236450459589</v>
      </c>
      <c r="O185" s="837">
        <f>IF(Indicadores[[#This Row],[Ventas]]=0,0,Indicadores[[#This Row],[EBITDA]]/Indicadores[[#This Row],[Ventas]])</f>
        <v>-0.27089901069583566</v>
      </c>
      <c r="P185" s="837">
        <f>IF(Indicadores[[#This Row],[Ventas]]=0,0,Indicadores[[#This Row],[UAI]]/Indicadores[[#This Row],[Ventas]])</f>
        <v>-0.39444686025977621</v>
      </c>
      <c r="Q185" s="837">
        <f>IFERROR(Indicadores[[#This Row],[Ventas]]/Indicadores[[#This Row],[Activos totales]],0)</f>
        <v>0.48023236450459589</v>
      </c>
    </row>
    <row r="186" spans="1:17" hidden="1" x14ac:dyDescent="0.35">
      <c r="A186" s="13" t="str">
        <f>MID(Indicadores[[#This Row],[CIIU]],2,4)</f>
        <v>3511</v>
      </c>
      <c r="B186" s="13" t="str">
        <f>Indicadores[[#This Row],[CIIU]]&amp;Indicadores[[#This Row],[Año]]</f>
        <v>D35112016</v>
      </c>
      <c r="C186" s="14" t="s">
        <v>2717</v>
      </c>
      <c r="D186" s="14" t="s">
        <v>2718</v>
      </c>
      <c r="E186" s="848">
        <v>2016</v>
      </c>
      <c r="F186" s="856" t="s">
        <v>2719</v>
      </c>
      <c r="G186" s="858" t="s">
        <v>2720</v>
      </c>
      <c r="H186" s="848" t="s">
        <v>2721</v>
      </c>
      <c r="I186" s="693" t="s">
        <v>2720</v>
      </c>
      <c r="J186" s="847">
        <v>74715764</v>
      </c>
      <c r="K186" s="847">
        <v>143397458</v>
      </c>
      <c r="L186" s="841">
        <v>1094618039</v>
      </c>
      <c r="M186" s="847">
        <v>202244139</v>
      </c>
      <c r="N186" s="839">
        <f>Indicadores[[#This Row],[Ventas]]/Indicadores[[#This Row],[Activos totales]]</f>
        <v>0.1847622931417815</v>
      </c>
      <c r="O186" s="837">
        <f>IF(Indicadores[[#This Row],[Ventas]]=0,0,Indicadores[[#This Row],[EBITDA]]/Indicadores[[#This Row],[Ventas]])</f>
        <v>0.70903146419486596</v>
      </c>
      <c r="P186" s="837">
        <f>IF(Indicadores[[#This Row],[Ventas]]=0,0,Indicadores[[#This Row],[UAI]]/Indicadores[[#This Row],[Ventas]])</f>
        <v>0.36943351915874306</v>
      </c>
      <c r="Q186" s="837">
        <f>IFERROR(Indicadores[[#This Row],[Ventas]]/Indicadores[[#This Row],[Activos totales]],0)</f>
        <v>0.1847622931417815</v>
      </c>
    </row>
    <row r="187" spans="1:17" hidden="1" x14ac:dyDescent="0.35">
      <c r="A187" s="13" t="str">
        <f>MID(Indicadores[[#This Row],[CIIU]],2,4)</f>
        <v>3512</v>
      </c>
      <c r="B187" s="13" t="str">
        <f>Indicadores[[#This Row],[CIIU]]&amp;Indicadores[[#This Row],[Año]]</f>
        <v>D35122016</v>
      </c>
      <c r="C187" s="14" t="s">
        <v>2717</v>
      </c>
      <c r="D187" s="14" t="s">
        <v>2718</v>
      </c>
      <c r="E187" s="848">
        <v>2016</v>
      </c>
      <c r="F187" s="856" t="s">
        <v>2722</v>
      </c>
      <c r="G187" s="857" t="s">
        <v>2723</v>
      </c>
      <c r="H187" s="848" t="s">
        <v>2724</v>
      </c>
      <c r="I187" s="693" t="s">
        <v>2723</v>
      </c>
      <c r="J187" s="847">
        <v>8923555</v>
      </c>
      <c r="K187" s="847">
        <v>503783</v>
      </c>
      <c r="L187" s="841">
        <v>79704220</v>
      </c>
      <c r="M187" s="847">
        <v>3536136</v>
      </c>
      <c r="N187" s="839">
        <f>Indicadores[[#This Row],[Ventas]]/Indicadores[[#This Row],[Activos totales]]</f>
        <v>4.4365731199678009E-2</v>
      </c>
      <c r="O187" s="837">
        <f>IF(Indicadores[[#This Row],[Ventas]]=0,0,Indicadores[[#This Row],[EBITDA]]/Indicadores[[#This Row],[Ventas]])</f>
        <v>0.14246708836990432</v>
      </c>
      <c r="P187" s="837">
        <f>IF(Indicadores[[#This Row],[Ventas]]=0,0,Indicadores[[#This Row],[UAI]]/Indicadores[[#This Row],[Ventas]])</f>
        <v>2.5235327487404331</v>
      </c>
      <c r="Q187" s="837">
        <f>IFERROR(Indicadores[[#This Row],[Ventas]]/Indicadores[[#This Row],[Activos totales]],0)</f>
        <v>4.4365731199678009E-2</v>
      </c>
    </row>
    <row r="188" spans="1:17" hidden="1" x14ac:dyDescent="0.35">
      <c r="A188" s="13" t="str">
        <f>MID(Indicadores[[#This Row],[CIIU]],2,4)</f>
        <v>3513</v>
      </c>
      <c r="B188" s="13" t="str">
        <f>Indicadores[[#This Row],[CIIU]]&amp;Indicadores[[#This Row],[Año]]</f>
        <v>D35132016</v>
      </c>
      <c r="C188" s="14" t="s">
        <v>2717</v>
      </c>
      <c r="D188" s="14" t="s">
        <v>2718</v>
      </c>
      <c r="E188" s="848">
        <v>2016</v>
      </c>
      <c r="F188" s="856" t="s">
        <v>2725</v>
      </c>
      <c r="G188" s="857" t="e">
        <v>#N/A</v>
      </c>
      <c r="H188" s="848" t="s">
        <v>2726</v>
      </c>
      <c r="I188" s="693" t="s">
        <v>2727</v>
      </c>
      <c r="J188" s="847">
        <v>4673568</v>
      </c>
      <c r="K188" s="847">
        <v>-14111999</v>
      </c>
      <c r="L188" s="841">
        <v>192587328</v>
      </c>
      <c r="M188" s="847">
        <v>0</v>
      </c>
      <c r="N188" s="839">
        <f>Indicadores[[#This Row],[Ventas]]/Indicadores[[#This Row],[Activos totales]]</f>
        <v>0</v>
      </c>
      <c r="O188" s="837">
        <f>IF(Indicadores[[#This Row],[Ventas]]=0,0,Indicadores[[#This Row],[EBITDA]]/Indicadores[[#This Row],[Ventas]])</f>
        <v>0</v>
      </c>
      <c r="P188" s="837">
        <f>IF(Indicadores[[#This Row],[Ventas]]=0,0,Indicadores[[#This Row],[UAI]]/Indicadores[[#This Row],[Ventas]])</f>
        <v>0</v>
      </c>
      <c r="Q188" s="837">
        <f>IFERROR(Indicadores[[#This Row],[Ventas]]/Indicadores[[#This Row],[Activos totales]],0)</f>
        <v>0</v>
      </c>
    </row>
    <row r="189" spans="1:17" hidden="1" x14ac:dyDescent="0.35">
      <c r="A189" s="13" t="str">
        <f>MID(Indicadores[[#This Row],[CIIU]],2,4)</f>
        <v>3514</v>
      </c>
      <c r="B189" s="13" t="str">
        <f>Indicadores[[#This Row],[CIIU]]&amp;Indicadores[[#This Row],[Año]]</f>
        <v>D35142016</v>
      </c>
      <c r="C189" s="14" t="s">
        <v>2717</v>
      </c>
      <c r="D189" s="14" t="s">
        <v>2718</v>
      </c>
      <c r="E189" s="848">
        <v>2016</v>
      </c>
      <c r="F189" s="856" t="s">
        <v>2728</v>
      </c>
      <c r="G189" s="858" t="s">
        <v>2729</v>
      </c>
      <c r="H189" s="848" t="s">
        <v>2730</v>
      </c>
      <c r="I189" s="693" t="s">
        <v>2729</v>
      </c>
      <c r="J189" s="847">
        <v>1681787</v>
      </c>
      <c r="K189" s="847">
        <v>1889631</v>
      </c>
      <c r="L189" s="841">
        <v>12013604</v>
      </c>
      <c r="M189" s="847">
        <v>18260999</v>
      </c>
      <c r="N189" s="839">
        <f>Indicadores[[#This Row],[Ventas]]/Indicadores[[#This Row],[Activos totales]]</f>
        <v>1.5200267130496394</v>
      </c>
      <c r="O189" s="837">
        <f>IF(Indicadores[[#This Row],[Ventas]]=0,0,Indicadores[[#This Row],[EBITDA]]/Indicadores[[#This Row],[Ventas]])</f>
        <v>0.10347905938771478</v>
      </c>
      <c r="P189" s="837">
        <f>IF(Indicadores[[#This Row],[Ventas]]=0,0,Indicadores[[#This Row],[UAI]]/Indicadores[[#This Row],[Ventas]])</f>
        <v>9.2097206730037059E-2</v>
      </c>
      <c r="Q189" s="837">
        <f>IFERROR(Indicadores[[#This Row],[Ventas]]/Indicadores[[#This Row],[Activos totales]],0)</f>
        <v>1.5200267130496394</v>
      </c>
    </row>
    <row r="190" spans="1:17" hidden="1" x14ac:dyDescent="0.35">
      <c r="A190" s="13" t="str">
        <f>MID(Indicadores[[#This Row],[CIIU]],2,4)</f>
        <v>3520</v>
      </c>
      <c r="B190" s="13" t="str">
        <f>Indicadores[[#This Row],[CIIU]]&amp;Indicadores[[#This Row],[Año]]</f>
        <v>D35202016</v>
      </c>
      <c r="C190" s="14" t="s">
        <v>2717</v>
      </c>
      <c r="D190" s="14" t="s">
        <v>2718</v>
      </c>
      <c r="E190" s="848">
        <v>2016</v>
      </c>
      <c r="F190" s="856" t="s">
        <v>2731</v>
      </c>
      <c r="G190" s="858" t="s">
        <v>2732</v>
      </c>
      <c r="H190" s="848" t="s">
        <v>2733</v>
      </c>
      <c r="I190" s="693" t="s">
        <v>2732</v>
      </c>
      <c r="J190" s="847">
        <v>2207724</v>
      </c>
      <c r="K190" s="847">
        <v>3043701</v>
      </c>
      <c r="L190" s="841">
        <v>16513399</v>
      </c>
      <c r="M190" s="847">
        <v>25470943</v>
      </c>
      <c r="N190" s="839">
        <f>Indicadores[[#This Row],[Ventas]]/Indicadores[[#This Row],[Activos totales]]</f>
        <v>1.5424409596110407</v>
      </c>
      <c r="O190" s="837">
        <f>IF(Indicadores[[#This Row],[Ventas]]=0,0,Indicadores[[#This Row],[EBITDA]]/Indicadores[[#This Row],[Ventas]])</f>
        <v>0.11949698917703989</v>
      </c>
      <c r="P190" s="837">
        <f>IF(Indicadores[[#This Row],[Ventas]]=0,0,Indicadores[[#This Row],[UAI]]/Indicadores[[#This Row],[Ventas]])</f>
        <v>8.66761784202493E-2</v>
      </c>
      <c r="Q190" s="837">
        <f>IFERROR(Indicadores[[#This Row],[Ventas]]/Indicadores[[#This Row],[Activos totales]],0)</f>
        <v>1.5424409596110407</v>
      </c>
    </row>
    <row r="191" spans="1:17" hidden="1" x14ac:dyDescent="0.35">
      <c r="A191" s="13" t="str">
        <f>MID(Indicadores[[#This Row],[CIIU]],2,4)</f>
        <v>3530</v>
      </c>
      <c r="B191" s="13" t="str">
        <f>Indicadores[[#This Row],[CIIU]]&amp;Indicadores[[#This Row],[Año]]</f>
        <v>D35302016</v>
      </c>
      <c r="C191" s="14" t="s">
        <v>2717</v>
      </c>
      <c r="D191" s="14" t="s">
        <v>2718</v>
      </c>
      <c r="E191" s="848">
        <v>2016</v>
      </c>
      <c r="F191" s="856" t="s">
        <v>2734</v>
      </c>
      <c r="G191" s="858" t="s">
        <v>2735</v>
      </c>
      <c r="H191" s="848" t="s">
        <v>2736</v>
      </c>
      <c r="I191" s="693" t="s">
        <v>2735</v>
      </c>
      <c r="J191" s="847">
        <v>1962744</v>
      </c>
      <c r="K191" s="847">
        <v>6130499</v>
      </c>
      <c r="L191" s="841">
        <v>28079272</v>
      </c>
      <c r="M191" s="847">
        <v>17720281</v>
      </c>
      <c r="N191" s="839">
        <f>Indicadores[[#This Row],[Ventas]]/Indicadores[[#This Row],[Activos totales]]</f>
        <v>0.63108049952292211</v>
      </c>
      <c r="O191" s="837">
        <f>IF(Indicadores[[#This Row],[Ventas]]=0,0,Indicadores[[#This Row],[EBITDA]]/Indicadores[[#This Row],[Ventas]])</f>
        <v>0.34595946870142746</v>
      </c>
      <c r="P191" s="837">
        <f>IF(Indicadores[[#This Row],[Ventas]]=0,0,Indicadores[[#This Row],[UAI]]/Indicadores[[#This Row],[Ventas]])</f>
        <v>0.1107625776363253</v>
      </c>
      <c r="Q191" s="837">
        <f>IFERROR(Indicadores[[#This Row],[Ventas]]/Indicadores[[#This Row],[Activos totales]],0)</f>
        <v>0.63108049952292211</v>
      </c>
    </row>
    <row r="192" spans="1:17" hidden="1" x14ac:dyDescent="0.35">
      <c r="A192" s="13" t="str">
        <f>MID(Indicadores[[#This Row],[CIIU]],2,4)</f>
        <v>3600</v>
      </c>
      <c r="B192" s="13" t="str">
        <f>Indicadores[[#This Row],[CIIU]]&amp;Indicadores[[#This Row],[Año]]</f>
        <v>E36002016</v>
      </c>
      <c r="C192" s="14" t="s">
        <v>2737</v>
      </c>
      <c r="D192" s="14" t="s">
        <v>2738</v>
      </c>
      <c r="E192" s="848">
        <v>2016</v>
      </c>
      <c r="F192" s="856" t="s">
        <v>2739</v>
      </c>
      <c r="G192" s="858" t="s">
        <v>2740</v>
      </c>
      <c r="H192" s="848" t="s">
        <v>2741</v>
      </c>
      <c r="I192" s="693" t="s">
        <v>2740</v>
      </c>
      <c r="J192" s="847">
        <v>547659</v>
      </c>
      <c r="K192" s="847">
        <v>6059988</v>
      </c>
      <c r="L192" s="841">
        <v>67652367</v>
      </c>
      <c r="M192" s="847">
        <v>147615857</v>
      </c>
      <c r="N192" s="839">
        <f>Indicadores[[#This Row],[Ventas]]/Indicadores[[#This Row],[Activos totales]]</f>
        <v>2.1819762344752847</v>
      </c>
      <c r="O192" s="837">
        <f>IF(Indicadores[[#This Row],[Ventas]]=0,0,Indicadores[[#This Row],[EBITDA]]/Indicadores[[#This Row],[Ventas]])</f>
        <v>4.1052418914588558E-2</v>
      </c>
      <c r="P192" s="837">
        <f>IF(Indicadores[[#This Row],[Ventas]]=0,0,Indicadores[[#This Row],[UAI]]/Indicadores[[#This Row],[Ventas]])</f>
        <v>3.710028252588067E-3</v>
      </c>
      <c r="Q192" s="837">
        <f>IFERROR(Indicadores[[#This Row],[Ventas]]/Indicadores[[#This Row],[Activos totales]],0)</f>
        <v>2.1819762344752847</v>
      </c>
    </row>
    <row r="193" spans="1:17" hidden="1" x14ac:dyDescent="0.35">
      <c r="A193" s="13" t="str">
        <f>MID(Indicadores[[#This Row],[CIIU]],2,4)</f>
        <v>3700</v>
      </c>
      <c r="B193" s="13" t="str">
        <f>Indicadores[[#This Row],[CIIU]]&amp;Indicadores[[#This Row],[Año]]</f>
        <v>E37002016</v>
      </c>
      <c r="C193" s="14" t="s">
        <v>2737</v>
      </c>
      <c r="D193" s="14" t="s">
        <v>2742</v>
      </c>
      <c r="E193" s="848">
        <v>2016</v>
      </c>
      <c r="F193" s="856" t="s">
        <v>2743</v>
      </c>
      <c r="G193" s="858" t="s">
        <v>2744</v>
      </c>
      <c r="H193" s="848" t="s">
        <v>2745</v>
      </c>
      <c r="I193" s="693" t="s">
        <v>2744</v>
      </c>
      <c r="J193" s="847">
        <v>3887449</v>
      </c>
      <c r="K193" s="847">
        <v>5819958</v>
      </c>
      <c r="L193" s="841">
        <v>44659869</v>
      </c>
      <c r="M193" s="847">
        <v>34589545</v>
      </c>
      <c r="N193" s="839">
        <f>Indicadores[[#This Row],[Ventas]]/Indicadores[[#This Row],[Activos totales]]</f>
        <v>0.77451066862735307</v>
      </c>
      <c r="O193" s="837">
        <f>IF(Indicadores[[#This Row],[Ventas]]=0,0,Indicadores[[#This Row],[EBITDA]]/Indicadores[[#This Row],[Ventas]])</f>
        <v>0.16825772064940431</v>
      </c>
      <c r="P193" s="837">
        <f>IF(Indicadores[[#This Row],[Ventas]]=0,0,Indicadores[[#This Row],[UAI]]/Indicadores[[#This Row],[Ventas]])</f>
        <v>0.11238797734980324</v>
      </c>
      <c r="Q193" s="837">
        <f>IFERROR(Indicadores[[#This Row],[Ventas]]/Indicadores[[#This Row],[Activos totales]],0)</f>
        <v>0.77451066862735307</v>
      </c>
    </row>
    <row r="194" spans="1:17" hidden="1" x14ac:dyDescent="0.35">
      <c r="A194" s="13" t="str">
        <f>MID(Indicadores[[#This Row],[CIIU]],2,4)</f>
        <v>3811</v>
      </c>
      <c r="B194" s="13" t="str">
        <f>Indicadores[[#This Row],[CIIU]]&amp;Indicadores[[#This Row],[Año]]</f>
        <v>E38112016</v>
      </c>
      <c r="C194" s="14" t="s">
        <v>2737</v>
      </c>
      <c r="D194" s="14" t="s">
        <v>2746</v>
      </c>
      <c r="E194" s="848">
        <v>2016</v>
      </c>
      <c r="F194" s="856" t="s">
        <v>2747</v>
      </c>
      <c r="G194" s="858" t="s">
        <v>2748</v>
      </c>
      <c r="H194" s="848" t="s">
        <v>2749</v>
      </c>
      <c r="I194" s="693" t="s">
        <v>2748</v>
      </c>
      <c r="J194" s="847">
        <v>-141035532</v>
      </c>
      <c r="K194" s="847">
        <v>-133805193</v>
      </c>
      <c r="L194" s="841">
        <v>252085429</v>
      </c>
      <c r="M194" s="847">
        <v>60835387</v>
      </c>
      <c r="N194" s="839">
        <f>Indicadores[[#This Row],[Ventas]]/Indicadores[[#This Row],[Activos totales]]</f>
        <v>0.2413284545692643</v>
      </c>
      <c r="O194" s="837">
        <f>IF(Indicadores[[#This Row],[Ventas]]=0,0,Indicadores[[#This Row],[EBITDA]]/Indicadores[[#This Row],[Ventas]])</f>
        <v>-2.1994631677119107</v>
      </c>
      <c r="P194" s="837">
        <f>IF(Indicadores[[#This Row],[Ventas]]=0,0,Indicadores[[#This Row],[UAI]]/Indicadores[[#This Row],[Ventas]])</f>
        <v>-2.3183140431078377</v>
      </c>
      <c r="Q194" s="837">
        <f>IFERROR(Indicadores[[#This Row],[Ventas]]/Indicadores[[#This Row],[Activos totales]],0)</f>
        <v>0.2413284545692643</v>
      </c>
    </row>
    <row r="195" spans="1:17" hidden="1" x14ac:dyDescent="0.35">
      <c r="A195" s="13" t="str">
        <f>MID(Indicadores[[#This Row],[CIIU]],2,4)</f>
        <v>3821</v>
      </c>
      <c r="B195" s="13" t="str">
        <f>Indicadores[[#This Row],[CIIU]]&amp;Indicadores[[#This Row],[Año]]</f>
        <v>E38212016</v>
      </c>
      <c r="C195" s="14" t="s">
        <v>2737</v>
      </c>
      <c r="D195" s="14" t="s">
        <v>2746</v>
      </c>
      <c r="E195" s="848">
        <v>2016</v>
      </c>
      <c r="F195" s="856" t="s">
        <v>2750</v>
      </c>
      <c r="G195" s="857" t="s">
        <v>2751</v>
      </c>
      <c r="H195" s="848" t="s">
        <v>2752</v>
      </c>
      <c r="I195" s="693" t="s">
        <v>2751</v>
      </c>
      <c r="J195" s="847">
        <v>-755789</v>
      </c>
      <c r="K195" s="847">
        <v>273104</v>
      </c>
      <c r="L195" s="841">
        <v>12252500</v>
      </c>
      <c r="M195" s="847">
        <v>4924824</v>
      </c>
      <c r="N195" s="839">
        <f>Indicadores[[#This Row],[Ventas]]/Indicadores[[#This Row],[Activos totales]]</f>
        <v>0.40194441950622323</v>
      </c>
      <c r="O195" s="837">
        <f>IF(Indicadores[[#This Row],[Ventas]]=0,0,Indicadores[[#This Row],[EBITDA]]/Indicadores[[#This Row],[Ventas]])</f>
        <v>5.5454570559272776E-2</v>
      </c>
      <c r="P195" s="837">
        <f>IF(Indicadores[[#This Row],[Ventas]]=0,0,Indicadores[[#This Row],[UAI]]/Indicadores[[#This Row],[Ventas]])</f>
        <v>-0.15346517966936482</v>
      </c>
      <c r="Q195" s="837">
        <f>IFERROR(Indicadores[[#This Row],[Ventas]]/Indicadores[[#This Row],[Activos totales]],0)</f>
        <v>0.40194441950622323</v>
      </c>
    </row>
    <row r="196" spans="1:17" hidden="1" x14ac:dyDescent="0.35">
      <c r="A196" s="13" t="str">
        <f>MID(Indicadores[[#This Row],[CIIU]],2,4)</f>
        <v>3822</v>
      </c>
      <c r="B196" s="13" t="str">
        <f>Indicadores[[#This Row],[CIIU]]&amp;Indicadores[[#This Row],[Año]]</f>
        <v>E38222016</v>
      </c>
      <c r="C196" s="14" t="s">
        <v>2737</v>
      </c>
      <c r="D196" s="14" t="s">
        <v>2746</v>
      </c>
      <c r="E196" s="848">
        <v>2016</v>
      </c>
      <c r="F196" s="856" t="s">
        <v>2753</v>
      </c>
      <c r="G196" s="858" t="s">
        <v>2754</v>
      </c>
      <c r="H196" s="848" t="s">
        <v>2755</v>
      </c>
      <c r="I196" s="693" t="s">
        <v>2754</v>
      </c>
      <c r="J196" s="847">
        <v>287182</v>
      </c>
      <c r="K196" s="847">
        <v>4493174</v>
      </c>
      <c r="L196" s="841">
        <v>43949187</v>
      </c>
      <c r="M196" s="847">
        <v>13582797</v>
      </c>
      <c r="N196" s="839">
        <f>Indicadores[[#This Row],[Ventas]]/Indicadores[[#This Row],[Activos totales]]</f>
        <v>0.30905684330406386</v>
      </c>
      <c r="O196" s="837">
        <f>IF(Indicadores[[#This Row],[Ventas]]=0,0,Indicadores[[#This Row],[EBITDA]]/Indicadores[[#This Row],[Ventas]])</f>
        <v>0.33079887743297642</v>
      </c>
      <c r="P196" s="837">
        <f>IF(Indicadores[[#This Row],[Ventas]]=0,0,Indicadores[[#This Row],[UAI]]/Indicadores[[#This Row],[Ventas]])</f>
        <v>2.1143067955738424E-2</v>
      </c>
      <c r="Q196" s="837">
        <f>IFERROR(Indicadores[[#This Row],[Ventas]]/Indicadores[[#This Row],[Activos totales]],0)</f>
        <v>0.30905684330406386</v>
      </c>
    </row>
    <row r="197" spans="1:17" hidden="1" x14ac:dyDescent="0.35">
      <c r="A197" s="13" t="str">
        <f>MID(Indicadores[[#This Row],[CIIU]],2,4)</f>
        <v>3830</v>
      </c>
      <c r="B197" s="13" t="str">
        <f>Indicadores[[#This Row],[CIIU]]&amp;Indicadores[[#This Row],[Año]]</f>
        <v>E38302016</v>
      </c>
      <c r="C197" s="14" t="s">
        <v>2737</v>
      </c>
      <c r="D197" s="14" t="s">
        <v>2746</v>
      </c>
      <c r="E197" s="848">
        <v>2016</v>
      </c>
      <c r="F197" s="856" t="s">
        <v>2756</v>
      </c>
      <c r="G197" s="858" t="s">
        <v>2757</v>
      </c>
      <c r="H197" s="848" t="s">
        <v>2758</v>
      </c>
      <c r="I197" s="693" t="s">
        <v>2757</v>
      </c>
      <c r="J197" s="847">
        <v>10189485</v>
      </c>
      <c r="K197" s="847">
        <v>19781604</v>
      </c>
      <c r="L197" s="841">
        <v>180286211</v>
      </c>
      <c r="M197" s="847">
        <v>110054542</v>
      </c>
      <c r="N197" s="839">
        <f>Indicadores[[#This Row],[Ventas]]/Indicadores[[#This Row],[Activos totales]]</f>
        <v>0.61044347978448554</v>
      </c>
      <c r="O197" s="833">
        <f>IF(Indicadores[[#This Row],[Ventas]]=0,0,Indicadores[[#This Row],[EBITDA]]/Indicadores[[#This Row],[Ventas]])</f>
        <v>0.1797436402034184</v>
      </c>
      <c r="P197" s="833">
        <f>IF(Indicadores[[#This Row],[Ventas]]=0,0,Indicadores[[#This Row],[UAI]]/Indicadores[[#This Row],[Ventas]])</f>
        <v>9.2585774424466735E-2</v>
      </c>
      <c r="Q197" s="833">
        <f>IFERROR(Indicadores[[#This Row],[Ventas]]/Indicadores[[#This Row],[Activos totales]],0)</f>
        <v>0.61044347978448554</v>
      </c>
    </row>
    <row r="198" spans="1:17" hidden="1" x14ac:dyDescent="0.35">
      <c r="A198" s="13" t="str">
        <f>MID(Indicadores[[#This Row],[CIIU]],2,4)</f>
        <v>3900</v>
      </c>
      <c r="B198" s="13" t="str">
        <f>Indicadores[[#This Row],[CIIU]]&amp;Indicadores[[#This Row],[Año]]</f>
        <v>E39002016</v>
      </c>
      <c r="C198" s="14" t="s">
        <v>2737</v>
      </c>
      <c r="D198" s="14" t="s">
        <v>2759</v>
      </c>
      <c r="E198" s="848">
        <v>2016</v>
      </c>
      <c r="F198" s="856" t="s">
        <v>2760</v>
      </c>
      <c r="G198" s="858" t="s">
        <v>2761</v>
      </c>
      <c r="H198" s="848" t="s">
        <v>2762</v>
      </c>
      <c r="I198" s="693" t="s">
        <v>2761</v>
      </c>
      <c r="J198" s="847">
        <v>1410286</v>
      </c>
      <c r="K198" s="847">
        <v>1882684</v>
      </c>
      <c r="L198" s="841">
        <v>34138786</v>
      </c>
      <c r="M198" s="847">
        <v>18832425</v>
      </c>
      <c r="N198" s="839">
        <f>Indicadores[[#This Row],[Ventas]]/Indicadores[[#This Row],[Activos totales]]</f>
        <v>0.55164307834496518</v>
      </c>
      <c r="O198" s="837">
        <f>IF(Indicadores[[#This Row],[Ventas]]=0,0,Indicadores[[#This Row],[EBITDA]]/Indicadores[[#This Row],[Ventas]])</f>
        <v>9.9970343702417502E-2</v>
      </c>
      <c r="P198" s="837">
        <f>IF(Indicadores[[#This Row],[Ventas]]=0,0,Indicadores[[#This Row],[UAI]]/Indicadores[[#This Row],[Ventas]])</f>
        <v>7.488605423889913E-2</v>
      </c>
      <c r="Q198" s="837">
        <f>IFERROR(Indicadores[[#This Row],[Ventas]]/Indicadores[[#This Row],[Activos totales]],0)</f>
        <v>0.55164307834496518</v>
      </c>
    </row>
    <row r="199" spans="1:17" hidden="1" x14ac:dyDescent="0.35">
      <c r="A199" s="13" t="str">
        <f>MID(Indicadores[[#This Row],[CIIU]],2,4)</f>
        <v>4111</v>
      </c>
      <c r="B199" s="13" t="str">
        <f>Indicadores[[#This Row],[CIIU]]&amp;Indicadores[[#This Row],[Año]]</f>
        <v>F41112016</v>
      </c>
      <c r="C199" s="14" t="s">
        <v>2763</v>
      </c>
      <c r="D199" s="14" t="s">
        <v>2764</v>
      </c>
      <c r="E199" s="848">
        <v>2016</v>
      </c>
      <c r="F199" s="856" t="s">
        <v>2765</v>
      </c>
      <c r="G199" s="858" t="s">
        <v>2766</v>
      </c>
      <c r="H199" s="848" t="s">
        <v>2767</v>
      </c>
      <c r="I199" s="693" t="s">
        <v>2766</v>
      </c>
      <c r="J199" s="847">
        <v>1745756084</v>
      </c>
      <c r="K199" s="847">
        <v>2049441243</v>
      </c>
      <c r="L199" s="841">
        <v>40193543299</v>
      </c>
      <c r="M199" s="847">
        <v>13248049726</v>
      </c>
      <c r="N199" s="839">
        <f>Indicadores[[#This Row],[Ventas]]/Indicadores[[#This Row],[Activos totales]]</f>
        <v>0.32960641532516011</v>
      </c>
      <c r="O199" s="837">
        <f>IF(Indicadores[[#This Row],[Ventas]]=0,0,Indicadores[[#This Row],[EBITDA]]/Indicadores[[#This Row],[Ventas]])</f>
        <v>0.15469758080526094</v>
      </c>
      <c r="P199" s="837">
        <f>IF(Indicadores[[#This Row],[Ventas]]=0,0,Indicadores[[#This Row],[UAI]]/Indicadores[[#This Row],[Ventas]])</f>
        <v>0.1317745721148571</v>
      </c>
      <c r="Q199" s="837">
        <f>IFERROR(Indicadores[[#This Row],[Ventas]]/Indicadores[[#This Row],[Activos totales]],0)</f>
        <v>0.32960641532516011</v>
      </c>
    </row>
    <row r="200" spans="1:17" hidden="1" x14ac:dyDescent="0.35">
      <c r="A200" s="13" t="str">
        <f>MID(Indicadores[[#This Row],[CIIU]],2,4)</f>
        <v>4112</v>
      </c>
      <c r="B200" s="13" t="str">
        <f>Indicadores[[#This Row],[CIIU]]&amp;Indicadores[[#This Row],[Año]]</f>
        <v>F41122016</v>
      </c>
      <c r="C200" s="14" t="s">
        <v>2763</v>
      </c>
      <c r="D200" s="14" t="s">
        <v>2764</v>
      </c>
      <c r="E200" s="848">
        <v>2016</v>
      </c>
      <c r="F200" s="856" t="s">
        <v>2768</v>
      </c>
      <c r="G200" s="858" t="s">
        <v>2769</v>
      </c>
      <c r="H200" s="848" t="s">
        <v>2770</v>
      </c>
      <c r="I200" s="693" t="s">
        <v>2769</v>
      </c>
      <c r="J200" s="847">
        <v>200060905</v>
      </c>
      <c r="K200" s="847">
        <v>274623955</v>
      </c>
      <c r="L200" s="841">
        <v>6007343486</v>
      </c>
      <c r="M200" s="847">
        <v>2245753129</v>
      </c>
      <c r="N200" s="839">
        <f>Indicadores[[#This Row],[Ventas]]/Indicadores[[#This Row],[Activos totales]]</f>
        <v>0.3738346465844154</v>
      </c>
      <c r="O200" s="837">
        <f>IF(Indicadores[[#This Row],[Ventas]]=0,0,Indicadores[[#This Row],[EBITDA]]/Indicadores[[#This Row],[Ventas]])</f>
        <v>0.12228590554042149</v>
      </c>
      <c r="P200" s="837">
        <f>IF(Indicadores[[#This Row],[Ventas]]=0,0,Indicadores[[#This Row],[UAI]]/Indicadores[[#This Row],[Ventas]])</f>
        <v>8.9084103865452083E-2</v>
      </c>
      <c r="Q200" s="837">
        <f>IFERROR(Indicadores[[#This Row],[Ventas]]/Indicadores[[#This Row],[Activos totales]],0)</f>
        <v>0.3738346465844154</v>
      </c>
    </row>
    <row r="201" spans="1:17" hidden="1" x14ac:dyDescent="0.35">
      <c r="A201" s="13" t="str">
        <f>MID(Indicadores[[#This Row],[CIIU]],2,4)</f>
        <v>4210</v>
      </c>
      <c r="B201" s="13" t="str">
        <f>Indicadores[[#This Row],[CIIU]]&amp;Indicadores[[#This Row],[Año]]</f>
        <v>F42102016</v>
      </c>
      <c r="C201" s="14" t="s">
        <v>2763</v>
      </c>
      <c r="D201" s="14" t="s">
        <v>2771</v>
      </c>
      <c r="E201" s="848">
        <v>2016</v>
      </c>
      <c r="F201" s="856" t="s">
        <v>2772</v>
      </c>
      <c r="G201" s="858" t="s">
        <v>2773</v>
      </c>
      <c r="H201" s="848" t="s">
        <v>2774</v>
      </c>
      <c r="I201" s="693" t="s">
        <v>2773</v>
      </c>
      <c r="J201" s="847">
        <v>911265176</v>
      </c>
      <c r="K201" s="847">
        <v>1108375665</v>
      </c>
      <c r="L201" s="841">
        <v>14294974341</v>
      </c>
      <c r="M201" s="847">
        <v>6614718086</v>
      </c>
      <c r="N201" s="839">
        <f>Indicadores[[#This Row],[Ventas]]/Indicadores[[#This Row],[Activos totales]]</f>
        <v>0.46273032243423179</v>
      </c>
      <c r="O201" s="837">
        <f>IF(Indicadores[[#This Row],[Ventas]]=0,0,Indicadores[[#This Row],[EBITDA]]/Indicadores[[#This Row],[Ventas]])</f>
        <v>0.16756204128273713</v>
      </c>
      <c r="P201" s="837">
        <f>IF(Indicadores[[#This Row],[Ventas]]=0,0,Indicadores[[#This Row],[UAI]]/Indicadores[[#This Row],[Ventas]])</f>
        <v>0.13776326733087624</v>
      </c>
      <c r="Q201" s="837">
        <f>IFERROR(Indicadores[[#This Row],[Ventas]]/Indicadores[[#This Row],[Activos totales]],0)</f>
        <v>0.46273032243423179</v>
      </c>
    </row>
    <row r="202" spans="1:17" hidden="1" x14ac:dyDescent="0.35">
      <c r="A202" s="13" t="str">
        <f>MID(Indicadores[[#This Row],[CIIU]],2,4)</f>
        <v>4220</v>
      </c>
      <c r="B202" s="13" t="str">
        <f>Indicadores[[#This Row],[CIIU]]&amp;Indicadores[[#This Row],[Año]]</f>
        <v>F42202016</v>
      </c>
      <c r="C202" s="14" t="s">
        <v>2763</v>
      </c>
      <c r="D202" s="14" t="s">
        <v>2771</v>
      </c>
      <c r="E202" s="848">
        <v>2016</v>
      </c>
      <c r="F202" s="856" t="s">
        <v>2775</v>
      </c>
      <c r="G202" s="858" t="s">
        <v>2776</v>
      </c>
      <c r="H202" s="848" t="s">
        <v>2777</v>
      </c>
      <c r="I202" s="693" t="s">
        <v>2776</v>
      </c>
      <c r="J202" s="847">
        <v>74460410</v>
      </c>
      <c r="K202" s="847">
        <v>86676741</v>
      </c>
      <c r="L202" s="841">
        <v>1134180541</v>
      </c>
      <c r="M202" s="847">
        <v>1067085076</v>
      </c>
      <c r="N202" s="839">
        <f>Indicadores[[#This Row],[Ventas]]/Indicadores[[#This Row],[Activos totales]]</f>
        <v>0.94084234160741076</v>
      </c>
      <c r="O202" s="837">
        <f>IF(Indicadores[[#This Row],[Ventas]]=0,0,Indicadores[[#This Row],[EBITDA]]/Indicadores[[#This Row],[Ventas]])</f>
        <v>8.1227582457539679E-2</v>
      </c>
      <c r="P202" s="837">
        <f>IF(Indicadores[[#This Row],[Ventas]]=0,0,Indicadores[[#This Row],[UAI]]/Indicadores[[#This Row],[Ventas]])</f>
        <v>6.9779262848579091E-2</v>
      </c>
      <c r="Q202" s="837">
        <f>IFERROR(Indicadores[[#This Row],[Ventas]]/Indicadores[[#This Row],[Activos totales]],0)</f>
        <v>0.94084234160741076</v>
      </c>
    </row>
    <row r="203" spans="1:17" hidden="1" x14ac:dyDescent="0.35">
      <c r="A203" s="13" t="str">
        <f>MID(Indicadores[[#This Row],[CIIU]],2,4)</f>
        <v>4290</v>
      </c>
      <c r="B203" s="13" t="str">
        <f>Indicadores[[#This Row],[CIIU]]&amp;Indicadores[[#This Row],[Año]]</f>
        <v>F42902016</v>
      </c>
      <c r="C203" s="14" t="s">
        <v>2763</v>
      </c>
      <c r="D203" s="14" t="s">
        <v>2771</v>
      </c>
      <c r="E203" s="848">
        <v>2016</v>
      </c>
      <c r="F203" s="856" t="s">
        <v>2778</v>
      </c>
      <c r="G203" s="858" t="s">
        <v>2779</v>
      </c>
      <c r="H203" s="848" t="s">
        <v>2780</v>
      </c>
      <c r="I203" s="693" t="s">
        <v>2779</v>
      </c>
      <c r="J203" s="847">
        <v>791555318</v>
      </c>
      <c r="K203" s="847">
        <v>1460818345</v>
      </c>
      <c r="L203" s="841">
        <v>22121117853</v>
      </c>
      <c r="M203" s="847">
        <v>12947467197</v>
      </c>
      <c r="N203" s="839">
        <f>Indicadores[[#This Row],[Ventas]]/Indicadores[[#This Row],[Activos totales]]</f>
        <v>0.58529895654636199</v>
      </c>
      <c r="O203" s="837">
        <f>IF(Indicadores[[#This Row],[Ventas]]=0,0,Indicadores[[#This Row],[EBITDA]]/Indicadores[[#This Row],[Ventas]])</f>
        <v>0.11282657239235792</v>
      </c>
      <c r="P203" s="837">
        <f>IF(Indicadores[[#This Row],[Ventas]]=0,0,Indicadores[[#This Row],[UAI]]/Indicadores[[#This Row],[Ventas]])</f>
        <v>6.1135919941423582E-2</v>
      </c>
      <c r="Q203" s="837">
        <f>IFERROR(Indicadores[[#This Row],[Ventas]]/Indicadores[[#This Row],[Activos totales]],0)</f>
        <v>0.58529895654636199</v>
      </c>
    </row>
    <row r="204" spans="1:17" hidden="1" x14ac:dyDescent="0.35">
      <c r="A204" s="13" t="str">
        <f>MID(Indicadores[[#This Row],[CIIU]],2,4)</f>
        <v>4311</v>
      </c>
      <c r="B204" s="13" t="str">
        <f>Indicadores[[#This Row],[CIIU]]&amp;Indicadores[[#This Row],[Año]]</f>
        <v>F43112016</v>
      </c>
      <c r="C204" s="14" t="s">
        <v>2763</v>
      </c>
      <c r="D204" s="14" t="s">
        <v>2781</v>
      </c>
      <c r="E204" s="848">
        <v>2016</v>
      </c>
      <c r="F204" s="856" t="s">
        <v>2782</v>
      </c>
      <c r="G204" s="858" t="s">
        <v>2783</v>
      </c>
      <c r="H204" s="848" t="s">
        <v>2784</v>
      </c>
      <c r="I204" s="693" t="s">
        <v>2783</v>
      </c>
      <c r="J204" s="847">
        <v>3296149</v>
      </c>
      <c r="K204" s="847">
        <v>4856687</v>
      </c>
      <c r="L204" s="841">
        <v>46269962</v>
      </c>
      <c r="M204" s="847">
        <v>15013140</v>
      </c>
      <c r="N204" s="839">
        <f>Indicadores[[#This Row],[Ventas]]/Indicadores[[#This Row],[Activos totales]]</f>
        <v>0.32446838836824632</v>
      </c>
      <c r="O204" s="837">
        <f>IF(Indicadores[[#This Row],[Ventas]]=0,0,Indicadores[[#This Row],[EBITDA]]/Indicadores[[#This Row],[Ventas]])</f>
        <v>0.32349575105540879</v>
      </c>
      <c r="P204" s="837">
        <f>IF(Indicadores[[#This Row],[Ventas]]=0,0,Indicadores[[#This Row],[UAI]]/Indicadores[[#This Row],[Ventas]])</f>
        <v>0.21955094004318884</v>
      </c>
      <c r="Q204" s="837">
        <f>IFERROR(Indicadores[[#This Row],[Ventas]]/Indicadores[[#This Row],[Activos totales]],0)</f>
        <v>0.32446838836824632</v>
      </c>
    </row>
    <row r="205" spans="1:17" hidden="1" x14ac:dyDescent="0.35">
      <c r="A205" s="13" t="str">
        <f>MID(Indicadores[[#This Row],[CIIU]],2,4)</f>
        <v>4312</v>
      </c>
      <c r="B205" s="13" t="str">
        <f>Indicadores[[#This Row],[CIIU]]&amp;Indicadores[[#This Row],[Año]]</f>
        <v>F43122016</v>
      </c>
      <c r="C205" s="14" t="s">
        <v>2763</v>
      </c>
      <c r="D205" s="14" t="s">
        <v>2781</v>
      </c>
      <c r="E205" s="848">
        <v>2016</v>
      </c>
      <c r="F205" s="856" t="s">
        <v>2785</v>
      </c>
      <c r="G205" s="858" t="s">
        <v>2786</v>
      </c>
      <c r="H205" s="848" t="s">
        <v>2787</v>
      </c>
      <c r="I205" s="693" t="s">
        <v>2786</v>
      </c>
      <c r="J205" s="847">
        <v>31725100</v>
      </c>
      <c r="K205" s="847">
        <v>55408961</v>
      </c>
      <c r="L205" s="841">
        <v>759743916</v>
      </c>
      <c r="M205" s="847">
        <v>378225652</v>
      </c>
      <c r="N205" s="839">
        <f>Indicadores[[#This Row],[Ventas]]/Indicadores[[#This Row],[Activos totales]]</f>
        <v>0.49783307774458047</v>
      </c>
      <c r="O205" s="837">
        <f>IF(Indicadores[[#This Row],[Ventas]]=0,0,Indicadores[[#This Row],[EBITDA]]/Indicadores[[#This Row],[Ventas]])</f>
        <v>0.14649709956742965</v>
      </c>
      <c r="P205" s="837">
        <f>IF(Indicadores[[#This Row],[Ventas]]=0,0,Indicadores[[#This Row],[UAI]]/Indicadores[[#This Row],[Ventas]])</f>
        <v>8.3878763463669043E-2</v>
      </c>
      <c r="Q205" s="837">
        <f>IFERROR(Indicadores[[#This Row],[Ventas]]/Indicadores[[#This Row],[Activos totales]],0)</f>
        <v>0.49783307774458047</v>
      </c>
    </row>
    <row r="206" spans="1:17" hidden="1" x14ac:dyDescent="0.35">
      <c r="A206" s="13" t="str">
        <f>MID(Indicadores[[#This Row],[CIIU]],2,4)</f>
        <v>4321</v>
      </c>
      <c r="B206" s="13" t="str">
        <f>Indicadores[[#This Row],[CIIU]]&amp;Indicadores[[#This Row],[Año]]</f>
        <v>F43212016</v>
      </c>
      <c r="C206" s="14" t="s">
        <v>2763</v>
      </c>
      <c r="D206" s="14" t="s">
        <v>2781</v>
      </c>
      <c r="E206" s="848">
        <v>2016</v>
      </c>
      <c r="F206" s="856" t="s">
        <v>2788</v>
      </c>
      <c r="G206" s="858" t="s">
        <v>2789</v>
      </c>
      <c r="H206" s="848" t="s">
        <v>2790</v>
      </c>
      <c r="I206" s="693" t="s">
        <v>2789</v>
      </c>
      <c r="J206" s="847">
        <v>131699979</v>
      </c>
      <c r="K206" s="847">
        <v>201219096</v>
      </c>
      <c r="L206" s="841">
        <v>1987110757</v>
      </c>
      <c r="M206" s="847">
        <v>2107773825</v>
      </c>
      <c r="N206" s="839">
        <f>Indicadores[[#This Row],[Ventas]]/Indicadores[[#This Row],[Activos totales]]</f>
        <v>1.0607228699129829</v>
      </c>
      <c r="O206" s="837">
        <f>IF(Indicadores[[#This Row],[Ventas]]=0,0,Indicadores[[#This Row],[EBITDA]]/Indicadores[[#This Row],[Ventas]])</f>
        <v>9.5465221938601505E-2</v>
      </c>
      <c r="P206" s="837">
        <f>IF(Indicadores[[#This Row],[Ventas]]=0,0,Indicadores[[#This Row],[UAI]]/Indicadores[[#This Row],[Ventas]])</f>
        <v>6.2482974898884137E-2</v>
      </c>
      <c r="Q206" s="837">
        <f>IFERROR(Indicadores[[#This Row],[Ventas]]/Indicadores[[#This Row],[Activos totales]],0)</f>
        <v>1.0607228699129829</v>
      </c>
    </row>
    <row r="207" spans="1:17" hidden="1" x14ac:dyDescent="0.35">
      <c r="A207" s="13" t="str">
        <f>MID(Indicadores[[#This Row],[CIIU]],2,4)</f>
        <v>4322</v>
      </c>
      <c r="B207" s="13" t="str">
        <f>Indicadores[[#This Row],[CIIU]]&amp;Indicadores[[#This Row],[Año]]</f>
        <v>F43222016</v>
      </c>
      <c r="C207" s="14" t="s">
        <v>2763</v>
      </c>
      <c r="D207" s="14" t="s">
        <v>2781</v>
      </c>
      <c r="E207" s="848">
        <v>2016</v>
      </c>
      <c r="F207" s="856" t="s">
        <v>2791</v>
      </c>
      <c r="G207" s="858" t="s">
        <v>2792</v>
      </c>
      <c r="H207" s="848" t="s">
        <v>2793</v>
      </c>
      <c r="I207" s="693" t="s">
        <v>2792</v>
      </c>
      <c r="J207" s="847">
        <v>33557753</v>
      </c>
      <c r="K207" s="847">
        <v>39614036</v>
      </c>
      <c r="L207" s="841">
        <v>332954213</v>
      </c>
      <c r="M207" s="847">
        <v>441901202</v>
      </c>
      <c r="N207" s="839">
        <f>Indicadores[[#This Row],[Ventas]]/Indicadores[[#This Row],[Activos totales]]</f>
        <v>1.3272131264487108</v>
      </c>
      <c r="O207" s="837">
        <f>IF(Indicadores[[#This Row],[Ventas]]=0,0,Indicadores[[#This Row],[EBITDA]]/Indicadores[[#This Row],[Ventas]])</f>
        <v>8.9644553625812501E-2</v>
      </c>
      <c r="P207" s="837">
        <f>IF(Indicadores[[#This Row],[Ventas]]=0,0,Indicadores[[#This Row],[UAI]]/Indicadores[[#This Row],[Ventas]])</f>
        <v>7.5939492466010533E-2</v>
      </c>
      <c r="Q207" s="837">
        <f>IFERROR(Indicadores[[#This Row],[Ventas]]/Indicadores[[#This Row],[Activos totales]],0)</f>
        <v>1.3272131264487108</v>
      </c>
    </row>
    <row r="208" spans="1:17" hidden="1" x14ac:dyDescent="0.35">
      <c r="A208" s="13" t="str">
        <f>MID(Indicadores[[#This Row],[CIIU]],2,4)</f>
        <v>4329</v>
      </c>
      <c r="B208" s="13" t="str">
        <f>Indicadores[[#This Row],[CIIU]]&amp;Indicadores[[#This Row],[Año]]</f>
        <v>F43292016</v>
      </c>
      <c r="C208" s="14" t="s">
        <v>2763</v>
      </c>
      <c r="D208" s="14" t="s">
        <v>2781</v>
      </c>
      <c r="E208" s="848">
        <v>2016</v>
      </c>
      <c r="F208" s="856" t="s">
        <v>2794</v>
      </c>
      <c r="G208" s="858" t="s">
        <v>2795</v>
      </c>
      <c r="H208" s="848" t="s">
        <v>2796</v>
      </c>
      <c r="I208" s="693" t="s">
        <v>2795</v>
      </c>
      <c r="J208" s="847">
        <v>46540631</v>
      </c>
      <c r="K208" s="847">
        <v>51969015</v>
      </c>
      <c r="L208" s="841">
        <v>395847429</v>
      </c>
      <c r="M208" s="847">
        <v>479761531</v>
      </c>
      <c r="N208" s="839">
        <f>Indicadores[[#This Row],[Ventas]]/Indicadores[[#This Row],[Activos totales]]</f>
        <v>1.211985971999328</v>
      </c>
      <c r="O208" s="837">
        <f>IF(Indicadores[[#This Row],[Ventas]]=0,0,Indicadores[[#This Row],[EBITDA]]/Indicadores[[#This Row],[Ventas]])</f>
        <v>0.10832259704457213</v>
      </c>
      <c r="P208" s="837">
        <f>IF(Indicadores[[#This Row],[Ventas]]=0,0,Indicadores[[#This Row],[UAI]]/Indicadores[[#This Row],[Ventas]])</f>
        <v>9.7007842423280907E-2</v>
      </c>
      <c r="Q208" s="837">
        <f>IFERROR(Indicadores[[#This Row],[Ventas]]/Indicadores[[#This Row],[Activos totales]],0)</f>
        <v>1.211985971999328</v>
      </c>
    </row>
    <row r="209" spans="1:17" hidden="1" x14ac:dyDescent="0.35">
      <c r="A209" s="13" t="str">
        <f>MID(Indicadores[[#This Row],[CIIU]],2,4)</f>
        <v>4330</v>
      </c>
      <c r="B209" s="13" t="str">
        <f>Indicadores[[#This Row],[CIIU]]&amp;Indicadores[[#This Row],[Año]]</f>
        <v>F43302016</v>
      </c>
      <c r="C209" s="14" t="s">
        <v>2763</v>
      </c>
      <c r="D209" s="14" t="s">
        <v>2781</v>
      </c>
      <c r="E209" s="848">
        <v>2016</v>
      </c>
      <c r="F209" s="856" t="s">
        <v>2797</v>
      </c>
      <c r="G209" s="858" t="s">
        <v>2798</v>
      </c>
      <c r="H209" s="848" t="s">
        <v>2799</v>
      </c>
      <c r="I209" s="693" t="s">
        <v>2798</v>
      </c>
      <c r="J209" s="847">
        <v>-11997188</v>
      </c>
      <c r="K209" s="847">
        <v>31629168</v>
      </c>
      <c r="L209" s="841">
        <v>339016386</v>
      </c>
      <c r="M209" s="847">
        <v>275399282</v>
      </c>
      <c r="N209" s="839">
        <f>Indicadores[[#This Row],[Ventas]]/Indicadores[[#This Row],[Activos totales]]</f>
        <v>0.81234799665406143</v>
      </c>
      <c r="O209" s="837">
        <f>IF(Indicadores[[#This Row],[Ventas]]=0,0,Indicadores[[#This Row],[EBITDA]]/Indicadores[[#This Row],[Ventas]])</f>
        <v>0.1148484039983808</v>
      </c>
      <c r="P209" s="837">
        <f>IF(Indicadores[[#This Row],[Ventas]]=0,0,Indicadores[[#This Row],[UAI]]/Indicadores[[#This Row],[Ventas]])</f>
        <v>-4.3562887720237413E-2</v>
      </c>
      <c r="Q209" s="837">
        <f>IFERROR(Indicadores[[#This Row],[Ventas]]/Indicadores[[#This Row],[Activos totales]],0)</f>
        <v>0.81234799665406143</v>
      </c>
    </row>
    <row r="210" spans="1:17" hidden="1" x14ac:dyDescent="0.35">
      <c r="A210" s="13" t="str">
        <f>MID(Indicadores[[#This Row],[CIIU]],2,4)</f>
        <v>4390</v>
      </c>
      <c r="B210" s="13" t="str">
        <f>Indicadores[[#This Row],[CIIU]]&amp;Indicadores[[#This Row],[Año]]</f>
        <v>F43902016</v>
      </c>
      <c r="C210" s="14" t="s">
        <v>2763</v>
      </c>
      <c r="D210" s="14" t="s">
        <v>2781</v>
      </c>
      <c r="E210" s="848">
        <v>2016</v>
      </c>
      <c r="F210" s="856" t="s">
        <v>2800</v>
      </c>
      <c r="G210" s="858" t="s">
        <v>2801</v>
      </c>
      <c r="H210" s="848" t="s">
        <v>2802</v>
      </c>
      <c r="I210" s="693" t="s">
        <v>2801</v>
      </c>
      <c r="J210" s="847">
        <v>60180090</v>
      </c>
      <c r="K210" s="847">
        <v>123743869</v>
      </c>
      <c r="L210" s="841">
        <v>2083687610</v>
      </c>
      <c r="M210" s="847">
        <v>1190335109</v>
      </c>
      <c r="N210" s="839">
        <f>Indicadores[[#This Row],[Ventas]]/Indicadores[[#This Row],[Activos totales]]</f>
        <v>0.57126370732703069</v>
      </c>
      <c r="O210" s="837">
        <f>IF(Indicadores[[#This Row],[Ventas]]=0,0,Indicadores[[#This Row],[EBITDA]]/Indicadores[[#This Row],[Ventas]])</f>
        <v>0.10395716976201531</v>
      </c>
      <c r="P210" s="837">
        <f>IF(Indicadores[[#This Row],[Ventas]]=0,0,Indicadores[[#This Row],[UAI]]/Indicadores[[#This Row],[Ventas]])</f>
        <v>5.0557267062850283E-2</v>
      </c>
      <c r="Q210" s="837">
        <f>IFERROR(Indicadores[[#This Row],[Ventas]]/Indicadores[[#This Row],[Activos totales]],0)</f>
        <v>0.57126370732703069</v>
      </c>
    </row>
    <row r="211" spans="1:17" hidden="1" x14ac:dyDescent="0.35">
      <c r="A211" s="13" t="str">
        <f>MID(Indicadores[[#This Row],[CIIU]],2,4)</f>
        <v>4511</v>
      </c>
      <c r="B211" s="13" t="str">
        <f>Indicadores[[#This Row],[CIIU]]&amp;Indicadores[[#This Row],[Año]]</f>
        <v>G45112016</v>
      </c>
      <c r="C211" s="14" t="s">
        <v>2803</v>
      </c>
      <c r="D211" s="14" t="s">
        <v>2804</v>
      </c>
      <c r="E211" s="848">
        <v>2016</v>
      </c>
      <c r="F211" s="856" t="s">
        <v>2805</v>
      </c>
      <c r="G211" s="858" t="s">
        <v>2806</v>
      </c>
      <c r="H211" s="848" t="s">
        <v>2807</v>
      </c>
      <c r="I211" s="693" t="s">
        <v>2806</v>
      </c>
      <c r="J211" s="847">
        <v>630047317</v>
      </c>
      <c r="K211" s="847">
        <v>1117556525</v>
      </c>
      <c r="L211" s="841">
        <v>12893713541</v>
      </c>
      <c r="M211" s="847">
        <v>20889085066</v>
      </c>
      <c r="N211" s="839">
        <f>Indicadores[[#This Row],[Ventas]]/Indicadores[[#This Row],[Activos totales]]</f>
        <v>1.62009843010518</v>
      </c>
      <c r="O211" s="837">
        <f>IF(Indicadores[[#This Row],[Ventas]]=0,0,Indicadores[[#This Row],[EBITDA]]/Indicadores[[#This Row],[Ventas]])</f>
        <v>5.3499543970883842E-2</v>
      </c>
      <c r="P211" s="837">
        <f>IF(Indicadores[[#This Row],[Ventas]]=0,0,Indicadores[[#This Row],[UAI]]/Indicadores[[#This Row],[Ventas]])</f>
        <v>3.0161556382643725E-2</v>
      </c>
      <c r="Q211" s="837">
        <f>IFERROR(Indicadores[[#This Row],[Ventas]]/Indicadores[[#This Row],[Activos totales]],0)</f>
        <v>1.62009843010518</v>
      </c>
    </row>
    <row r="212" spans="1:17" hidden="1" x14ac:dyDescent="0.35">
      <c r="A212" s="13" t="str">
        <f>MID(Indicadores[[#This Row],[CIIU]],2,4)</f>
        <v>4512</v>
      </c>
      <c r="B212" s="13" t="str">
        <f>Indicadores[[#This Row],[CIIU]]&amp;Indicadores[[#This Row],[Año]]</f>
        <v>G45122016</v>
      </c>
      <c r="C212" s="14" t="s">
        <v>2803</v>
      </c>
      <c r="D212" s="14" t="s">
        <v>2804</v>
      </c>
      <c r="E212" s="848">
        <v>2016</v>
      </c>
      <c r="F212" s="856" t="s">
        <v>2808</v>
      </c>
      <c r="G212" s="858" t="s">
        <v>2809</v>
      </c>
      <c r="H212" s="848" t="s">
        <v>2810</v>
      </c>
      <c r="I212" s="693" t="s">
        <v>2809</v>
      </c>
      <c r="J212" s="847">
        <v>-461381</v>
      </c>
      <c r="K212" s="847">
        <v>4594787</v>
      </c>
      <c r="L212" s="841">
        <v>244206357</v>
      </c>
      <c r="M212" s="847">
        <v>201439195</v>
      </c>
      <c r="N212" s="839">
        <f>Indicadores[[#This Row],[Ventas]]/Indicadores[[#This Row],[Activos totales]]</f>
        <v>0.82487285537779842</v>
      </c>
      <c r="O212" s="837">
        <f>IF(Indicadores[[#This Row],[Ventas]]=0,0,Indicadores[[#This Row],[EBITDA]]/Indicadores[[#This Row],[Ventas]])</f>
        <v>2.2809796276241075E-2</v>
      </c>
      <c r="P212" s="837">
        <f>IF(Indicadores[[#This Row],[Ventas]]=0,0,Indicadores[[#This Row],[UAI]]/Indicadores[[#This Row],[Ventas]])</f>
        <v>-2.2904231721140467E-3</v>
      </c>
      <c r="Q212" s="837">
        <f>IFERROR(Indicadores[[#This Row],[Ventas]]/Indicadores[[#This Row],[Activos totales]],0)</f>
        <v>0.82487285537779842</v>
      </c>
    </row>
    <row r="213" spans="1:17" hidden="1" x14ac:dyDescent="0.35">
      <c r="A213" s="13" t="str">
        <f>MID(Indicadores[[#This Row],[CIIU]],2,4)</f>
        <v>4520</v>
      </c>
      <c r="B213" s="13" t="str">
        <f>Indicadores[[#This Row],[CIIU]]&amp;Indicadores[[#This Row],[Año]]</f>
        <v>G45202016</v>
      </c>
      <c r="C213" s="14" t="s">
        <v>2803</v>
      </c>
      <c r="D213" s="14" t="s">
        <v>2804</v>
      </c>
      <c r="E213" s="848">
        <v>2016</v>
      </c>
      <c r="F213" s="856" t="s">
        <v>2811</v>
      </c>
      <c r="G213" s="858" t="s">
        <v>2812</v>
      </c>
      <c r="H213" s="848" t="s">
        <v>2813</v>
      </c>
      <c r="I213" s="693" t="s">
        <v>2812</v>
      </c>
      <c r="J213" s="847">
        <v>30351261</v>
      </c>
      <c r="K213" s="847">
        <v>43695514</v>
      </c>
      <c r="L213" s="841">
        <v>294031032</v>
      </c>
      <c r="M213" s="847">
        <v>339973898</v>
      </c>
      <c r="N213" s="839">
        <f>Indicadores[[#This Row],[Ventas]]/Indicadores[[#This Row],[Activos totales]]</f>
        <v>1.1562517591680594</v>
      </c>
      <c r="O213" s="837">
        <f>IF(Indicadores[[#This Row],[Ventas]]=0,0,Indicadores[[#This Row],[EBITDA]]/Indicadores[[#This Row],[Ventas]])</f>
        <v>0.12852608467018253</v>
      </c>
      <c r="P213" s="837">
        <f>IF(Indicadores[[#This Row],[Ventas]]=0,0,Indicadores[[#This Row],[UAI]]/Indicadores[[#This Row],[Ventas]])</f>
        <v>8.9275268420753881E-2</v>
      </c>
      <c r="Q213" s="837">
        <f>IFERROR(Indicadores[[#This Row],[Ventas]]/Indicadores[[#This Row],[Activos totales]],0)</f>
        <v>1.1562517591680594</v>
      </c>
    </row>
    <row r="214" spans="1:17" hidden="1" x14ac:dyDescent="0.35">
      <c r="A214" s="13" t="str">
        <f>MID(Indicadores[[#This Row],[CIIU]],2,4)</f>
        <v>4530</v>
      </c>
      <c r="B214" s="13" t="str">
        <f>Indicadores[[#This Row],[CIIU]]&amp;Indicadores[[#This Row],[Año]]</f>
        <v>G45302016</v>
      </c>
      <c r="C214" s="14" t="s">
        <v>2803</v>
      </c>
      <c r="D214" s="14" t="s">
        <v>2804</v>
      </c>
      <c r="E214" s="848">
        <v>2016</v>
      </c>
      <c r="F214" s="856" t="s">
        <v>2814</v>
      </c>
      <c r="G214" s="858" t="s">
        <v>2815</v>
      </c>
      <c r="H214" s="848" t="s">
        <v>2816</v>
      </c>
      <c r="I214" s="693" t="s">
        <v>2815</v>
      </c>
      <c r="J214" s="847">
        <v>346728976</v>
      </c>
      <c r="K214" s="847">
        <v>450149759</v>
      </c>
      <c r="L214" s="841">
        <v>4898428426</v>
      </c>
      <c r="M214" s="847">
        <v>5408063594</v>
      </c>
      <c r="N214" s="839">
        <f>Indicadores[[#This Row],[Ventas]]/Indicadores[[#This Row],[Activos totales]]</f>
        <v>1.1040405460034786</v>
      </c>
      <c r="O214" s="837">
        <f>IF(Indicadores[[#This Row],[Ventas]]=0,0,Indicadores[[#This Row],[EBITDA]]/Indicadores[[#This Row],[Ventas]])</f>
        <v>8.3236772492731162E-2</v>
      </c>
      <c r="P214" s="837">
        <f>IF(Indicadores[[#This Row],[Ventas]]=0,0,Indicadores[[#This Row],[UAI]]/Indicadores[[#This Row],[Ventas]])</f>
        <v>6.4113331874403254E-2</v>
      </c>
      <c r="Q214" s="837">
        <f>IFERROR(Indicadores[[#This Row],[Ventas]]/Indicadores[[#This Row],[Activos totales]],0)</f>
        <v>1.1040405460034786</v>
      </c>
    </row>
    <row r="215" spans="1:17" hidden="1" x14ac:dyDescent="0.35">
      <c r="A215" s="13" t="str">
        <f>MID(Indicadores[[#This Row],[CIIU]],2,4)</f>
        <v>4541</v>
      </c>
      <c r="B215" s="13" t="str">
        <f>Indicadores[[#This Row],[CIIU]]&amp;Indicadores[[#This Row],[Año]]</f>
        <v>G45412016</v>
      </c>
      <c r="C215" s="14" t="s">
        <v>2803</v>
      </c>
      <c r="D215" s="14" t="s">
        <v>2804</v>
      </c>
      <c r="E215" s="848">
        <v>2016</v>
      </c>
      <c r="F215" s="856" t="s">
        <v>2817</v>
      </c>
      <c r="G215" s="858" t="s">
        <v>2818</v>
      </c>
      <c r="H215" s="848" t="s">
        <v>2819</v>
      </c>
      <c r="I215" s="693" t="s">
        <v>2818</v>
      </c>
      <c r="J215" s="847">
        <v>23128984</v>
      </c>
      <c r="K215" s="847">
        <v>46189101</v>
      </c>
      <c r="L215" s="841">
        <v>745293030</v>
      </c>
      <c r="M215" s="847">
        <v>1481649197</v>
      </c>
      <c r="N215" s="839">
        <f>Indicadores[[#This Row],[Ventas]]/Indicadores[[#This Row],[Activos totales]]</f>
        <v>1.9880089271732488</v>
      </c>
      <c r="O215" s="837">
        <f>IF(Indicadores[[#This Row],[Ventas]]=0,0,Indicadores[[#This Row],[EBITDA]]/Indicadores[[#This Row],[Ventas]])</f>
        <v>3.1174114016679754E-2</v>
      </c>
      <c r="P215" s="837">
        <f>IF(Indicadores[[#This Row],[Ventas]]=0,0,Indicadores[[#This Row],[UAI]]/Indicadores[[#This Row],[Ventas]])</f>
        <v>1.5610296989888627E-2</v>
      </c>
      <c r="Q215" s="837">
        <f>IFERROR(Indicadores[[#This Row],[Ventas]]/Indicadores[[#This Row],[Activos totales]],0)</f>
        <v>1.9880089271732488</v>
      </c>
    </row>
    <row r="216" spans="1:17" hidden="1" x14ac:dyDescent="0.35">
      <c r="A216" s="13" t="str">
        <f>MID(Indicadores[[#This Row],[CIIU]],2,4)</f>
        <v>4542</v>
      </c>
      <c r="B216" s="13" t="str">
        <f>Indicadores[[#This Row],[CIIU]]&amp;Indicadores[[#This Row],[Año]]</f>
        <v>G45422016</v>
      </c>
      <c r="C216" s="14" t="s">
        <v>2803</v>
      </c>
      <c r="D216" s="14" t="s">
        <v>2804</v>
      </c>
      <c r="E216" s="848">
        <v>2016</v>
      </c>
      <c r="F216" s="856" t="s">
        <v>2820</v>
      </c>
      <c r="G216" s="857" t="s">
        <v>2821</v>
      </c>
      <c r="H216" s="848" t="s">
        <v>2822</v>
      </c>
      <c r="I216" s="693" t="s">
        <v>2821</v>
      </c>
      <c r="J216" s="847">
        <v>197131</v>
      </c>
      <c r="K216" s="847">
        <v>360916</v>
      </c>
      <c r="L216" s="841">
        <v>8020812</v>
      </c>
      <c r="M216" s="847">
        <v>13584855</v>
      </c>
      <c r="N216" s="839">
        <f>Indicadores[[#This Row],[Ventas]]/Indicadores[[#This Row],[Activos totales]]</f>
        <v>1.6937007125961809</v>
      </c>
      <c r="O216" s="837">
        <f>IF(Indicadores[[#This Row],[Ventas]]=0,0,Indicadores[[#This Row],[EBITDA]]/Indicadores[[#This Row],[Ventas]])</f>
        <v>2.6567526852513332E-2</v>
      </c>
      <c r="P216" s="837">
        <f>IF(Indicadores[[#This Row],[Ventas]]=0,0,Indicadores[[#This Row],[UAI]]/Indicadores[[#This Row],[Ventas]])</f>
        <v>1.4511086058702872E-2</v>
      </c>
      <c r="Q216" s="837">
        <f>IFERROR(Indicadores[[#This Row],[Ventas]]/Indicadores[[#This Row],[Activos totales]],0)</f>
        <v>1.6937007125961809</v>
      </c>
    </row>
    <row r="217" spans="1:17" hidden="1" x14ac:dyDescent="0.35">
      <c r="A217" s="13" t="str">
        <f>MID(Indicadores[[#This Row],[CIIU]],2,4)</f>
        <v>4610</v>
      </c>
      <c r="B217" s="13" t="str">
        <f>Indicadores[[#This Row],[CIIU]]&amp;Indicadores[[#This Row],[Año]]</f>
        <v>G46102016</v>
      </c>
      <c r="C217" s="14" t="s">
        <v>2803</v>
      </c>
      <c r="D217" s="14" t="s">
        <v>2823</v>
      </c>
      <c r="E217" s="848">
        <v>2016</v>
      </c>
      <c r="F217" s="856" t="s">
        <v>2824</v>
      </c>
      <c r="G217" s="858" t="s">
        <v>2825</v>
      </c>
      <c r="H217" s="848" t="s">
        <v>2826</v>
      </c>
      <c r="I217" s="693" t="s">
        <v>2825</v>
      </c>
      <c r="J217" s="847">
        <v>23277921</v>
      </c>
      <c r="K217" s="847">
        <v>46869915</v>
      </c>
      <c r="L217" s="841">
        <v>845178489</v>
      </c>
      <c r="M217" s="847">
        <v>1551893004</v>
      </c>
      <c r="N217" s="839">
        <f>Indicadores[[#This Row],[Ventas]]/Indicadores[[#This Row],[Activos totales]]</f>
        <v>1.8361719142144424</v>
      </c>
      <c r="O217" s="837">
        <f>IF(Indicadores[[#This Row],[Ventas]]=0,0,Indicadores[[#This Row],[EBITDA]]/Indicadores[[#This Row],[Ventas]])</f>
        <v>3.0201769631793506E-2</v>
      </c>
      <c r="P217" s="837">
        <f>IF(Indicadores[[#This Row],[Ventas]]=0,0,Indicadores[[#This Row],[UAI]]/Indicadores[[#This Row],[Ventas]])</f>
        <v>1.4999694527909606E-2</v>
      </c>
      <c r="Q217" s="837">
        <f>IFERROR(Indicadores[[#This Row],[Ventas]]/Indicadores[[#This Row],[Activos totales]],0)</f>
        <v>1.8361719142144424</v>
      </c>
    </row>
    <row r="218" spans="1:17" hidden="1" x14ac:dyDescent="0.35">
      <c r="A218" s="13" t="str">
        <f>MID(Indicadores[[#This Row],[CIIU]],2,4)</f>
        <v>4620</v>
      </c>
      <c r="B218" s="13" t="str">
        <f>Indicadores[[#This Row],[CIIU]]&amp;Indicadores[[#This Row],[Año]]</f>
        <v>G46202016</v>
      </c>
      <c r="C218" s="14" t="s">
        <v>2803</v>
      </c>
      <c r="D218" s="14" t="s">
        <v>2823</v>
      </c>
      <c r="E218" s="848">
        <v>2016</v>
      </c>
      <c r="F218" s="856" t="s">
        <v>2827</v>
      </c>
      <c r="G218" s="858" t="s">
        <v>2828</v>
      </c>
      <c r="H218" s="848" t="s">
        <v>2829</v>
      </c>
      <c r="I218" s="693" t="s">
        <v>2828</v>
      </c>
      <c r="J218" s="847">
        <v>183606345</v>
      </c>
      <c r="K218" s="847">
        <v>331130343</v>
      </c>
      <c r="L218" s="841">
        <v>4228298312</v>
      </c>
      <c r="M218" s="847">
        <v>7304653694</v>
      </c>
      <c r="N218" s="839">
        <f>Indicadores[[#This Row],[Ventas]]/Indicadores[[#This Row],[Activos totales]]</f>
        <v>1.7275634676175138</v>
      </c>
      <c r="O218" s="837">
        <f>IF(Indicadores[[#This Row],[Ventas]]=0,0,Indicadores[[#This Row],[EBITDA]]/Indicadores[[#This Row],[Ventas]])</f>
        <v>4.5331422524792456E-2</v>
      </c>
      <c r="P218" s="837">
        <f>IF(Indicadores[[#This Row],[Ventas]]=0,0,Indicadores[[#This Row],[UAI]]/Indicadores[[#This Row],[Ventas]])</f>
        <v>2.5135530401778416E-2</v>
      </c>
      <c r="Q218" s="837">
        <f>IFERROR(Indicadores[[#This Row],[Ventas]]/Indicadores[[#This Row],[Activos totales]],0)</f>
        <v>1.7275634676175138</v>
      </c>
    </row>
    <row r="219" spans="1:17" hidden="1" x14ac:dyDescent="0.35">
      <c r="A219" s="13" t="str">
        <f>MID(Indicadores[[#This Row],[CIIU]],2,4)</f>
        <v>4631</v>
      </c>
      <c r="B219" s="13" t="str">
        <f>Indicadores[[#This Row],[CIIU]]&amp;Indicadores[[#This Row],[Año]]</f>
        <v>G46312016</v>
      </c>
      <c r="C219" s="14" t="s">
        <v>2803</v>
      </c>
      <c r="D219" s="14" t="s">
        <v>2823</v>
      </c>
      <c r="E219" s="848">
        <v>2016</v>
      </c>
      <c r="F219" s="856" t="s">
        <v>2830</v>
      </c>
      <c r="G219" s="858" t="s">
        <v>2831</v>
      </c>
      <c r="H219" s="848" t="s">
        <v>2832</v>
      </c>
      <c r="I219" s="693" t="s">
        <v>2831</v>
      </c>
      <c r="J219" s="847">
        <v>206666400</v>
      </c>
      <c r="K219" s="847">
        <v>301991330</v>
      </c>
      <c r="L219" s="841">
        <v>3637783270</v>
      </c>
      <c r="M219" s="847">
        <v>7804461678</v>
      </c>
      <c r="N219" s="839">
        <f>Indicadores[[#This Row],[Ventas]]/Indicadores[[#This Row],[Activos totales]]</f>
        <v>2.1453894030360967</v>
      </c>
      <c r="O219" s="837">
        <f>IF(Indicadores[[#This Row],[Ventas]]=0,0,Indicadores[[#This Row],[EBITDA]]/Indicadores[[#This Row],[Ventas]])</f>
        <v>3.8694703422182654E-2</v>
      </c>
      <c r="P219" s="837">
        <f>IF(Indicadores[[#This Row],[Ventas]]=0,0,Indicadores[[#This Row],[UAI]]/Indicadores[[#This Row],[Ventas]])</f>
        <v>2.6480545171049016E-2</v>
      </c>
      <c r="Q219" s="837">
        <f>IFERROR(Indicadores[[#This Row],[Ventas]]/Indicadores[[#This Row],[Activos totales]],0)</f>
        <v>2.1453894030360967</v>
      </c>
    </row>
    <row r="220" spans="1:17" hidden="1" x14ac:dyDescent="0.35">
      <c r="A220" s="13" t="str">
        <f>MID(Indicadores[[#This Row],[CIIU]],2,4)</f>
        <v>4632</v>
      </c>
      <c r="B220" s="13" t="str">
        <f>Indicadores[[#This Row],[CIIU]]&amp;Indicadores[[#This Row],[Año]]</f>
        <v>G46322016</v>
      </c>
      <c r="C220" s="14" t="s">
        <v>2803</v>
      </c>
      <c r="D220" s="14" t="s">
        <v>2823</v>
      </c>
      <c r="E220" s="848">
        <v>2016</v>
      </c>
      <c r="F220" s="856" t="s">
        <v>2833</v>
      </c>
      <c r="G220" s="858" t="s">
        <v>2834</v>
      </c>
      <c r="H220" s="848" t="s">
        <v>2835</v>
      </c>
      <c r="I220" s="693" t="s">
        <v>2834</v>
      </c>
      <c r="J220" s="847">
        <v>-64757975</v>
      </c>
      <c r="K220" s="847">
        <v>72211187</v>
      </c>
      <c r="L220" s="841">
        <v>3693177030</v>
      </c>
      <c r="M220" s="847">
        <v>4118967933</v>
      </c>
      <c r="N220" s="839">
        <f>Indicadores[[#This Row],[Ventas]]/Indicadores[[#This Row],[Activos totales]]</f>
        <v>1.1152912247480322</v>
      </c>
      <c r="O220" s="837">
        <f>IF(Indicadores[[#This Row],[Ventas]]=0,0,Indicadores[[#This Row],[EBITDA]]/Indicadores[[#This Row],[Ventas]])</f>
        <v>1.7531378776092066E-2</v>
      </c>
      <c r="P220" s="837">
        <f>IF(Indicadores[[#This Row],[Ventas]]=0,0,Indicadores[[#This Row],[UAI]]/Indicadores[[#This Row],[Ventas]])</f>
        <v>-1.5721893458110592E-2</v>
      </c>
      <c r="Q220" s="837">
        <f>IFERROR(Indicadores[[#This Row],[Ventas]]/Indicadores[[#This Row],[Activos totales]],0)</f>
        <v>1.1152912247480322</v>
      </c>
    </row>
    <row r="221" spans="1:17" hidden="1" x14ac:dyDescent="0.35">
      <c r="A221" s="13" t="str">
        <f>MID(Indicadores[[#This Row],[CIIU]],2,4)</f>
        <v>4641</v>
      </c>
      <c r="B221" s="13" t="str">
        <f>Indicadores[[#This Row],[CIIU]]&amp;Indicadores[[#This Row],[Año]]</f>
        <v>G46412016</v>
      </c>
      <c r="C221" s="14" t="s">
        <v>2803</v>
      </c>
      <c r="D221" s="14" t="s">
        <v>2823</v>
      </c>
      <c r="E221" s="848">
        <v>2016</v>
      </c>
      <c r="F221" s="856" t="s">
        <v>2836</v>
      </c>
      <c r="G221" s="858" t="s">
        <v>2837</v>
      </c>
      <c r="H221" s="848" t="s">
        <v>2838</v>
      </c>
      <c r="I221" s="693" t="s">
        <v>2837</v>
      </c>
      <c r="J221" s="847">
        <v>78275097</v>
      </c>
      <c r="K221" s="847">
        <v>167465018</v>
      </c>
      <c r="L221" s="841">
        <v>2545660527</v>
      </c>
      <c r="M221" s="847">
        <v>2888991653</v>
      </c>
      <c r="N221" s="839">
        <f>Indicadores[[#This Row],[Ventas]]/Indicadores[[#This Row],[Activos totales]]</f>
        <v>1.1348691714227142</v>
      </c>
      <c r="O221" s="837">
        <f>IF(Indicadores[[#This Row],[Ventas]]=0,0,Indicadores[[#This Row],[EBITDA]]/Indicadores[[#This Row],[Ventas]])</f>
        <v>5.7966598077948822E-2</v>
      </c>
      <c r="P221" s="837">
        <f>IF(Indicadores[[#This Row],[Ventas]]=0,0,Indicadores[[#This Row],[UAI]]/Indicadores[[#This Row],[Ventas]])</f>
        <v>2.7094262082314156E-2</v>
      </c>
      <c r="Q221" s="837">
        <f>IFERROR(Indicadores[[#This Row],[Ventas]]/Indicadores[[#This Row],[Activos totales]],0)</f>
        <v>1.1348691714227142</v>
      </c>
    </row>
    <row r="222" spans="1:17" hidden="1" x14ac:dyDescent="0.35">
      <c r="A222" s="13" t="str">
        <f>MID(Indicadores[[#This Row],[CIIU]],2,4)</f>
        <v>4642</v>
      </c>
      <c r="B222" s="13" t="str">
        <f>Indicadores[[#This Row],[CIIU]]&amp;Indicadores[[#This Row],[Año]]</f>
        <v>G46422016</v>
      </c>
      <c r="C222" s="14" t="s">
        <v>2803</v>
      </c>
      <c r="D222" s="14" t="s">
        <v>2823</v>
      </c>
      <c r="E222" s="848">
        <v>2016</v>
      </c>
      <c r="F222" s="856" t="s">
        <v>2839</v>
      </c>
      <c r="G222" s="858" t="s">
        <v>2840</v>
      </c>
      <c r="H222" s="848" t="s">
        <v>2841</v>
      </c>
      <c r="I222" s="693" t="s">
        <v>2840</v>
      </c>
      <c r="J222" s="847">
        <v>-529232</v>
      </c>
      <c r="K222" s="847">
        <v>13333896</v>
      </c>
      <c r="L222" s="841">
        <v>268944369</v>
      </c>
      <c r="M222" s="847">
        <v>241925868</v>
      </c>
      <c r="N222" s="839">
        <f>Indicadores[[#This Row],[Ventas]]/Indicadores[[#This Row],[Activos totales]]</f>
        <v>0.89953869976731138</v>
      </c>
      <c r="O222" s="837">
        <f>IF(Indicadores[[#This Row],[Ventas]]=0,0,Indicadores[[#This Row],[EBITDA]]/Indicadores[[#This Row],[Ventas]])</f>
        <v>5.5115627403680534E-2</v>
      </c>
      <c r="P222" s="837">
        <f>IF(Indicadores[[#This Row],[Ventas]]=0,0,Indicadores[[#This Row],[UAI]]/Indicadores[[#This Row],[Ventas]])</f>
        <v>-2.1875792133150473E-3</v>
      </c>
      <c r="Q222" s="837">
        <f>IFERROR(Indicadores[[#This Row],[Ventas]]/Indicadores[[#This Row],[Activos totales]],0)</f>
        <v>0.89953869976731138</v>
      </c>
    </row>
    <row r="223" spans="1:17" hidden="1" x14ac:dyDescent="0.35">
      <c r="A223" s="13" t="str">
        <f>MID(Indicadores[[#This Row],[CIIU]],2,4)</f>
        <v>4643</v>
      </c>
      <c r="B223" s="13" t="str">
        <f>Indicadores[[#This Row],[CIIU]]&amp;Indicadores[[#This Row],[Año]]</f>
        <v>G46432016</v>
      </c>
      <c r="C223" s="14" t="s">
        <v>2803</v>
      </c>
      <c r="D223" s="14" t="s">
        <v>2823</v>
      </c>
      <c r="E223" s="848">
        <v>2016</v>
      </c>
      <c r="F223" s="856" t="s">
        <v>2842</v>
      </c>
      <c r="G223" s="858" t="s">
        <v>2843</v>
      </c>
      <c r="H223" s="848" t="s">
        <v>2844</v>
      </c>
      <c r="I223" s="693" t="s">
        <v>2843</v>
      </c>
      <c r="J223" s="847">
        <v>58969059</v>
      </c>
      <c r="K223" s="847">
        <v>74286145</v>
      </c>
      <c r="L223" s="841">
        <v>606617476</v>
      </c>
      <c r="M223" s="847">
        <v>807799883</v>
      </c>
      <c r="N223" s="839">
        <f>Indicadores[[#This Row],[Ventas]]/Indicadores[[#This Row],[Activos totales]]</f>
        <v>1.3316462432414327</v>
      </c>
      <c r="O223" s="837">
        <f>IF(Indicadores[[#This Row],[Ventas]]=0,0,Indicadores[[#This Row],[EBITDA]]/Indicadores[[#This Row],[Ventas]])</f>
        <v>9.1961074225607439E-2</v>
      </c>
      <c r="P223" s="837">
        <f>IF(Indicadores[[#This Row],[Ventas]]=0,0,Indicadores[[#This Row],[UAI]]/Indicadores[[#This Row],[Ventas]])</f>
        <v>7.2999588438910426E-2</v>
      </c>
      <c r="Q223" s="837">
        <f>IFERROR(Indicadores[[#This Row],[Ventas]]/Indicadores[[#This Row],[Activos totales]],0)</f>
        <v>1.3316462432414327</v>
      </c>
    </row>
    <row r="224" spans="1:17" hidden="1" x14ac:dyDescent="0.35">
      <c r="A224" s="13" t="str">
        <f>MID(Indicadores[[#This Row],[CIIU]],2,4)</f>
        <v>4644</v>
      </c>
      <c r="B224" s="13" t="str">
        <f>Indicadores[[#This Row],[CIIU]]&amp;Indicadores[[#This Row],[Año]]</f>
        <v>G46442016</v>
      </c>
      <c r="C224" s="14" t="s">
        <v>2803</v>
      </c>
      <c r="D224" s="14" t="s">
        <v>2823</v>
      </c>
      <c r="E224" s="848">
        <v>2016</v>
      </c>
      <c r="F224" s="856" t="s">
        <v>2845</v>
      </c>
      <c r="G224" s="858" t="s">
        <v>2846</v>
      </c>
      <c r="H224" s="848" t="s">
        <v>2847</v>
      </c>
      <c r="I224" s="693" t="s">
        <v>2846</v>
      </c>
      <c r="J224" s="847">
        <v>-20030854</v>
      </c>
      <c r="K224" s="847">
        <v>76980013</v>
      </c>
      <c r="L224" s="841">
        <v>1422538599</v>
      </c>
      <c r="M224" s="847">
        <v>2746592732</v>
      </c>
      <c r="N224" s="839">
        <f>Indicadores[[#This Row],[Ventas]]/Indicadores[[#This Row],[Activos totales]]</f>
        <v>1.9307685105562469</v>
      </c>
      <c r="O224" s="837">
        <f>IF(Indicadores[[#This Row],[Ventas]]=0,0,Indicadores[[#This Row],[EBITDA]]/Indicadores[[#This Row],[Ventas]])</f>
        <v>2.8027458204167417E-2</v>
      </c>
      <c r="P224" s="837">
        <f>IF(Indicadores[[#This Row],[Ventas]]=0,0,Indicadores[[#This Row],[UAI]]/Indicadores[[#This Row],[Ventas]])</f>
        <v>-7.2929829627176044E-3</v>
      </c>
      <c r="Q224" s="837">
        <f>IFERROR(Indicadores[[#This Row],[Ventas]]/Indicadores[[#This Row],[Activos totales]],0)</f>
        <v>1.9307685105562469</v>
      </c>
    </row>
    <row r="225" spans="1:17" hidden="1" x14ac:dyDescent="0.35">
      <c r="A225" s="13" t="str">
        <f>MID(Indicadores[[#This Row],[CIIU]],2,4)</f>
        <v>4645</v>
      </c>
      <c r="B225" s="13" t="str">
        <f>Indicadores[[#This Row],[CIIU]]&amp;Indicadores[[#This Row],[Año]]</f>
        <v>G46452016</v>
      </c>
      <c r="C225" s="14" t="s">
        <v>2803</v>
      </c>
      <c r="D225" s="14" t="s">
        <v>2823</v>
      </c>
      <c r="E225" s="848">
        <v>2016</v>
      </c>
      <c r="F225" s="856" t="s">
        <v>2848</v>
      </c>
      <c r="G225" s="858" t="s">
        <v>2849</v>
      </c>
      <c r="H225" s="848" t="s">
        <v>2850</v>
      </c>
      <c r="I225" s="693" t="s">
        <v>2849</v>
      </c>
      <c r="J225" s="847">
        <v>1052978960</v>
      </c>
      <c r="K225" s="847">
        <v>1345777478</v>
      </c>
      <c r="L225" s="841">
        <v>15945146906</v>
      </c>
      <c r="M225" s="847">
        <v>18614198344</v>
      </c>
      <c r="N225" s="839">
        <f>Indicadores[[#This Row],[Ventas]]/Indicadores[[#This Row],[Activos totales]]</f>
        <v>1.1673895796466862</v>
      </c>
      <c r="O225" s="837">
        <f>IF(Indicadores[[#This Row],[Ventas]]=0,0,Indicadores[[#This Row],[EBITDA]]/Indicadores[[#This Row],[Ventas]])</f>
        <v>7.2298438704119145E-2</v>
      </c>
      <c r="P225" s="837">
        <f>IF(Indicadores[[#This Row],[Ventas]]=0,0,Indicadores[[#This Row],[UAI]]/Indicadores[[#This Row],[Ventas]])</f>
        <v>5.6568590306195571E-2</v>
      </c>
      <c r="Q225" s="837">
        <f>IFERROR(Indicadores[[#This Row],[Ventas]]/Indicadores[[#This Row],[Activos totales]],0)</f>
        <v>1.1673895796466862</v>
      </c>
    </row>
    <row r="226" spans="1:17" hidden="1" x14ac:dyDescent="0.35">
      <c r="A226" s="13" t="str">
        <f>MID(Indicadores[[#This Row],[CIIU]],2,4)</f>
        <v>4649</v>
      </c>
      <c r="B226" s="13" t="str">
        <f>Indicadores[[#This Row],[CIIU]]&amp;Indicadores[[#This Row],[Año]]</f>
        <v>G46492016</v>
      </c>
      <c r="C226" s="14" t="s">
        <v>2803</v>
      </c>
      <c r="D226" s="14" t="s">
        <v>2823</v>
      </c>
      <c r="E226" s="848">
        <v>2016</v>
      </c>
      <c r="F226" s="856" t="s">
        <v>2851</v>
      </c>
      <c r="G226" s="858" t="s">
        <v>2852</v>
      </c>
      <c r="H226" s="848" t="s">
        <v>2853</v>
      </c>
      <c r="I226" s="693" t="s">
        <v>2852</v>
      </c>
      <c r="J226" s="847">
        <v>62182431</v>
      </c>
      <c r="K226" s="847">
        <v>87726661</v>
      </c>
      <c r="L226" s="841">
        <v>805185181</v>
      </c>
      <c r="M226" s="847">
        <v>1018333035</v>
      </c>
      <c r="N226" s="839">
        <f>Indicadores[[#This Row],[Ventas]]/Indicadores[[#This Row],[Activos totales]]</f>
        <v>1.2647190472821184</v>
      </c>
      <c r="O226" s="837">
        <f>IF(Indicadores[[#This Row],[Ventas]]=0,0,Indicadores[[#This Row],[EBITDA]]/Indicadores[[#This Row],[Ventas]])</f>
        <v>8.6147319182275181E-2</v>
      </c>
      <c r="P226" s="837">
        <f>IF(Indicadores[[#This Row],[Ventas]]=0,0,Indicadores[[#This Row],[UAI]]/Indicadores[[#This Row],[Ventas]])</f>
        <v>6.1062961588003478E-2</v>
      </c>
      <c r="Q226" s="837">
        <f>IFERROR(Indicadores[[#This Row],[Ventas]]/Indicadores[[#This Row],[Activos totales]],0)</f>
        <v>1.2647190472821184</v>
      </c>
    </row>
    <row r="227" spans="1:17" hidden="1" x14ac:dyDescent="0.35">
      <c r="A227" s="13" t="str">
        <f>MID(Indicadores[[#This Row],[CIIU]],2,4)</f>
        <v>4651</v>
      </c>
      <c r="B227" s="13" t="str">
        <f>Indicadores[[#This Row],[CIIU]]&amp;Indicadores[[#This Row],[Año]]</f>
        <v>G46512016</v>
      </c>
      <c r="C227" s="14" t="s">
        <v>2803</v>
      </c>
      <c r="D227" s="14" t="s">
        <v>2823</v>
      </c>
      <c r="E227" s="848">
        <v>2016</v>
      </c>
      <c r="F227" s="856" t="s">
        <v>2854</v>
      </c>
      <c r="G227" s="858" t="s">
        <v>2855</v>
      </c>
      <c r="H227" s="848" t="s">
        <v>2856</v>
      </c>
      <c r="I227" s="693" t="s">
        <v>2855</v>
      </c>
      <c r="J227" s="847">
        <v>198012622</v>
      </c>
      <c r="K227" s="847">
        <v>256128921</v>
      </c>
      <c r="L227" s="841">
        <v>2757954225</v>
      </c>
      <c r="M227" s="847">
        <v>5666878747</v>
      </c>
      <c r="N227" s="839">
        <f>Indicadores[[#This Row],[Ventas]]/Indicadores[[#This Row],[Activos totales]]</f>
        <v>2.0547399574769956</v>
      </c>
      <c r="O227" s="837">
        <f>IF(Indicadores[[#This Row],[Ventas]]=0,0,Indicadores[[#This Row],[EBITDA]]/Indicadores[[#This Row],[Ventas]])</f>
        <v>4.5197529792849828E-2</v>
      </c>
      <c r="P227" s="837">
        <f>IF(Indicadores[[#This Row],[Ventas]]=0,0,Indicadores[[#This Row],[UAI]]/Indicadores[[#This Row],[Ventas]])</f>
        <v>3.4942096141518164E-2</v>
      </c>
      <c r="Q227" s="837">
        <f>IFERROR(Indicadores[[#This Row],[Ventas]]/Indicadores[[#This Row],[Activos totales]],0)</f>
        <v>2.0547399574769956</v>
      </c>
    </row>
    <row r="228" spans="1:17" hidden="1" x14ac:dyDescent="0.35">
      <c r="A228" s="13" t="str">
        <f>MID(Indicadores[[#This Row],[CIIU]],2,4)</f>
        <v>4652</v>
      </c>
      <c r="B228" s="13" t="str">
        <f>Indicadores[[#This Row],[CIIU]]&amp;Indicadores[[#This Row],[Año]]</f>
        <v>G46522016</v>
      </c>
      <c r="C228" s="14" t="s">
        <v>2803</v>
      </c>
      <c r="D228" s="14" t="s">
        <v>2823</v>
      </c>
      <c r="E228" s="848">
        <v>2016</v>
      </c>
      <c r="F228" s="856" t="s">
        <v>2857</v>
      </c>
      <c r="G228" s="858" t="s">
        <v>2858</v>
      </c>
      <c r="H228" s="848" t="s">
        <v>2859</v>
      </c>
      <c r="I228" s="693" t="s">
        <v>2858</v>
      </c>
      <c r="J228" s="847">
        <v>176455050</v>
      </c>
      <c r="K228" s="847">
        <v>213303644</v>
      </c>
      <c r="L228" s="841">
        <v>2587161720</v>
      </c>
      <c r="M228" s="847">
        <v>4698380904</v>
      </c>
      <c r="N228" s="839">
        <f>Indicadores[[#This Row],[Ventas]]/Indicadores[[#This Row],[Activos totales]]</f>
        <v>1.816036804997254</v>
      </c>
      <c r="O228" s="837">
        <f>IF(Indicadores[[#This Row],[Ventas]]=0,0,Indicadores[[#This Row],[EBITDA]]/Indicadores[[#This Row],[Ventas]])</f>
        <v>4.5399393612042489E-2</v>
      </c>
      <c r="P228" s="837">
        <f>IF(Indicadores[[#This Row],[Ventas]]=0,0,Indicadores[[#This Row],[UAI]]/Indicadores[[#This Row],[Ventas]])</f>
        <v>3.7556565464876152E-2</v>
      </c>
      <c r="Q228" s="837">
        <f>IFERROR(Indicadores[[#This Row],[Ventas]]/Indicadores[[#This Row],[Activos totales]],0)</f>
        <v>1.816036804997254</v>
      </c>
    </row>
    <row r="229" spans="1:17" hidden="1" x14ac:dyDescent="0.35">
      <c r="A229" s="13" t="str">
        <f>MID(Indicadores[[#This Row],[CIIU]],2,4)</f>
        <v>4653</v>
      </c>
      <c r="B229" s="13" t="str">
        <f>Indicadores[[#This Row],[CIIU]]&amp;Indicadores[[#This Row],[Año]]</f>
        <v>G46532016</v>
      </c>
      <c r="C229" s="14" t="s">
        <v>2803</v>
      </c>
      <c r="D229" s="14" t="s">
        <v>2823</v>
      </c>
      <c r="E229" s="848">
        <v>2016</v>
      </c>
      <c r="F229" s="856" t="s">
        <v>2860</v>
      </c>
      <c r="G229" s="858" t="s">
        <v>2861</v>
      </c>
      <c r="H229" s="848" t="s">
        <v>2862</v>
      </c>
      <c r="I229" s="693" t="s">
        <v>2861</v>
      </c>
      <c r="J229" s="847">
        <v>61340282</v>
      </c>
      <c r="K229" s="847">
        <v>73700802</v>
      </c>
      <c r="L229" s="841">
        <v>665342285</v>
      </c>
      <c r="M229" s="847">
        <v>719185184</v>
      </c>
      <c r="N229" s="839">
        <f>Indicadores[[#This Row],[Ventas]]/Indicadores[[#This Row],[Activos totales]]</f>
        <v>1.0809251121022618</v>
      </c>
      <c r="O229" s="837">
        <f>IF(Indicadores[[#This Row],[Ventas]]=0,0,Indicadores[[#This Row],[EBITDA]]/Indicadores[[#This Row],[Ventas]])</f>
        <v>0.10247819843852624</v>
      </c>
      <c r="P229" s="837">
        <f>IF(Indicadores[[#This Row],[Ventas]]=0,0,Indicadores[[#This Row],[UAI]]/Indicadores[[#This Row],[Ventas]])</f>
        <v>8.5291359394856506E-2</v>
      </c>
      <c r="Q229" s="837">
        <f>IFERROR(Indicadores[[#This Row],[Ventas]]/Indicadores[[#This Row],[Activos totales]],0)</f>
        <v>1.0809251121022618</v>
      </c>
    </row>
    <row r="230" spans="1:17" hidden="1" x14ac:dyDescent="0.35">
      <c r="A230" s="13" t="str">
        <f>MID(Indicadores[[#This Row],[CIIU]],2,4)</f>
        <v>4659</v>
      </c>
      <c r="B230" s="13" t="str">
        <f>Indicadores[[#This Row],[CIIU]]&amp;Indicadores[[#This Row],[Año]]</f>
        <v>G46592016</v>
      </c>
      <c r="C230" s="14" t="s">
        <v>2803</v>
      </c>
      <c r="D230" s="14" t="s">
        <v>2823</v>
      </c>
      <c r="E230" s="848">
        <v>2016</v>
      </c>
      <c r="F230" s="856" t="s">
        <v>2863</v>
      </c>
      <c r="G230" s="858" t="s">
        <v>2864</v>
      </c>
      <c r="H230" s="848" t="s">
        <v>2865</v>
      </c>
      <c r="I230" s="693" t="s">
        <v>2864</v>
      </c>
      <c r="J230" s="847">
        <v>583465735</v>
      </c>
      <c r="K230" s="847">
        <v>791724271</v>
      </c>
      <c r="L230" s="841">
        <v>7220983570</v>
      </c>
      <c r="M230" s="847">
        <v>7623286567</v>
      </c>
      <c r="N230" s="839">
        <f>Indicadores[[#This Row],[Ventas]]/Indicadores[[#This Row],[Activos totales]]</f>
        <v>1.0557130469970035</v>
      </c>
      <c r="O230" s="837">
        <f>IF(Indicadores[[#This Row],[Ventas]]=0,0,Indicadores[[#This Row],[EBITDA]]/Indicadores[[#This Row],[Ventas]])</f>
        <v>0.10385602902916558</v>
      </c>
      <c r="P230" s="837">
        <f>IF(Indicadores[[#This Row],[Ventas]]=0,0,Indicadores[[#This Row],[UAI]]/Indicadores[[#This Row],[Ventas]])</f>
        <v>7.6537295282290807E-2</v>
      </c>
      <c r="Q230" s="837">
        <f>IFERROR(Indicadores[[#This Row],[Ventas]]/Indicadores[[#This Row],[Activos totales]],0)</f>
        <v>1.0557130469970035</v>
      </c>
    </row>
    <row r="231" spans="1:17" hidden="1" x14ac:dyDescent="0.35">
      <c r="A231" s="13" t="str">
        <f>MID(Indicadores[[#This Row],[CIIU]],2,4)</f>
        <v>4661</v>
      </c>
      <c r="B231" s="13" t="str">
        <f>Indicadores[[#This Row],[CIIU]]&amp;Indicadores[[#This Row],[Año]]</f>
        <v>G46612016</v>
      </c>
      <c r="C231" s="14" t="s">
        <v>2803</v>
      </c>
      <c r="D231" s="14" t="s">
        <v>2823</v>
      </c>
      <c r="E231" s="848">
        <v>2016</v>
      </c>
      <c r="F231" s="856" t="s">
        <v>2866</v>
      </c>
      <c r="G231" s="858" t="s">
        <v>2867</v>
      </c>
      <c r="H231" s="848" t="s">
        <v>2868</v>
      </c>
      <c r="I231" s="693" t="s">
        <v>2867</v>
      </c>
      <c r="J231" s="847">
        <v>-126381039</v>
      </c>
      <c r="K231" s="847">
        <v>34816447</v>
      </c>
      <c r="L231" s="841">
        <v>5009457293</v>
      </c>
      <c r="M231" s="847">
        <v>12311631460</v>
      </c>
      <c r="N231" s="839">
        <f>Indicadores[[#This Row],[Ventas]]/Indicadores[[#This Row],[Activos totales]]</f>
        <v>2.4576776963851441</v>
      </c>
      <c r="O231" s="837">
        <f>IF(Indicadores[[#This Row],[Ventas]]=0,0,Indicadores[[#This Row],[EBITDA]]/Indicadores[[#This Row],[Ventas]])</f>
        <v>2.8279312220413069E-3</v>
      </c>
      <c r="P231" s="837">
        <f>IF(Indicadores[[#This Row],[Ventas]]=0,0,Indicadores[[#This Row],[UAI]]/Indicadores[[#This Row],[Ventas]])</f>
        <v>-1.0265173986941288E-2</v>
      </c>
      <c r="Q231" s="837">
        <f>IFERROR(Indicadores[[#This Row],[Ventas]]/Indicadores[[#This Row],[Activos totales]],0)</f>
        <v>2.4576776963851441</v>
      </c>
    </row>
    <row r="232" spans="1:17" hidden="1" x14ac:dyDescent="0.35">
      <c r="A232" s="13" t="str">
        <f>MID(Indicadores[[#This Row],[CIIU]],2,4)</f>
        <v>4662</v>
      </c>
      <c r="B232" s="13" t="str">
        <f>Indicadores[[#This Row],[CIIU]]&amp;Indicadores[[#This Row],[Año]]</f>
        <v>G46622016</v>
      </c>
      <c r="C232" s="14" t="s">
        <v>2803</v>
      </c>
      <c r="D232" s="14" t="s">
        <v>2823</v>
      </c>
      <c r="E232" s="848">
        <v>2016</v>
      </c>
      <c r="F232" s="856" t="s">
        <v>2869</v>
      </c>
      <c r="G232" s="858" t="s">
        <v>2870</v>
      </c>
      <c r="H232" s="848" t="s">
        <v>2871</v>
      </c>
      <c r="I232" s="693" t="s">
        <v>2870</v>
      </c>
      <c r="J232" s="847">
        <v>26557950</v>
      </c>
      <c r="K232" s="847">
        <v>50193681</v>
      </c>
      <c r="L232" s="841">
        <v>357088773</v>
      </c>
      <c r="M232" s="847">
        <v>1392849273</v>
      </c>
      <c r="N232" s="839">
        <f>Indicadores[[#This Row],[Ventas]]/Indicadores[[#This Row],[Activos totales]]</f>
        <v>3.9005686493537559</v>
      </c>
      <c r="O232" s="837">
        <f>IF(Indicadores[[#This Row],[Ventas]]=0,0,Indicadores[[#This Row],[EBITDA]]/Indicadores[[#This Row],[Ventas]])</f>
        <v>3.6036692535933855E-2</v>
      </c>
      <c r="P232" s="837">
        <f>IF(Indicadores[[#This Row],[Ventas]]=0,0,Indicadores[[#This Row],[UAI]]/Indicadores[[#This Row],[Ventas]])</f>
        <v>1.9067353887329056E-2</v>
      </c>
      <c r="Q232" s="837">
        <f>IFERROR(Indicadores[[#This Row],[Ventas]]/Indicadores[[#This Row],[Activos totales]],0)</f>
        <v>3.9005686493537559</v>
      </c>
    </row>
    <row r="233" spans="1:17" hidden="1" x14ac:dyDescent="0.35">
      <c r="A233" s="13" t="str">
        <f>MID(Indicadores[[#This Row],[CIIU]],2,4)</f>
        <v>4663</v>
      </c>
      <c r="B233" s="13" t="str">
        <f>Indicadores[[#This Row],[CIIU]]&amp;Indicadores[[#This Row],[Año]]</f>
        <v>G46632016</v>
      </c>
      <c r="C233" s="14" t="s">
        <v>2803</v>
      </c>
      <c r="D233" s="14" t="s">
        <v>2823</v>
      </c>
      <c r="E233" s="848">
        <v>2016</v>
      </c>
      <c r="F233" s="856" t="s">
        <v>2872</v>
      </c>
      <c r="G233" s="858" t="s">
        <v>2873</v>
      </c>
      <c r="H233" s="848" t="s">
        <v>2874</v>
      </c>
      <c r="I233" s="693" t="s">
        <v>2873</v>
      </c>
      <c r="J233" s="847">
        <v>313557448</v>
      </c>
      <c r="K233" s="847">
        <v>578143704</v>
      </c>
      <c r="L233" s="841">
        <v>7733207128</v>
      </c>
      <c r="M233" s="847">
        <v>10322606743</v>
      </c>
      <c r="N233" s="839">
        <f>Indicadores[[#This Row],[Ventas]]/Indicadores[[#This Row],[Activos totales]]</f>
        <v>1.334841621611871</v>
      </c>
      <c r="O233" s="837">
        <f>IF(Indicadores[[#This Row],[Ventas]]=0,0,Indicadores[[#This Row],[EBITDA]]/Indicadores[[#This Row],[Ventas]])</f>
        <v>5.6007529725188139E-2</v>
      </c>
      <c r="P233" s="837">
        <f>IF(Indicadores[[#This Row],[Ventas]]=0,0,Indicadores[[#This Row],[UAI]]/Indicadores[[#This Row],[Ventas]])</f>
        <v>3.0375800978045649E-2</v>
      </c>
      <c r="Q233" s="837">
        <f>IFERROR(Indicadores[[#This Row],[Ventas]]/Indicadores[[#This Row],[Activos totales]],0)</f>
        <v>1.334841621611871</v>
      </c>
    </row>
    <row r="234" spans="1:17" hidden="1" x14ac:dyDescent="0.35">
      <c r="A234" s="13" t="str">
        <f>MID(Indicadores[[#This Row],[CIIU]],2,4)</f>
        <v>4664</v>
      </c>
      <c r="B234" s="13" t="str">
        <f>Indicadores[[#This Row],[CIIU]]&amp;Indicadores[[#This Row],[Año]]</f>
        <v>G46642016</v>
      </c>
      <c r="C234" s="14" t="s">
        <v>2803</v>
      </c>
      <c r="D234" s="14" t="s">
        <v>2823</v>
      </c>
      <c r="E234" s="848">
        <v>2016</v>
      </c>
      <c r="F234" s="856" t="s">
        <v>2875</v>
      </c>
      <c r="G234" s="858" t="s">
        <v>2876</v>
      </c>
      <c r="H234" s="848" t="s">
        <v>2877</v>
      </c>
      <c r="I234" s="693" t="s">
        <v>2876</v>
      </c>
      <c r="J234" s="847">
        <v>320348714</v>
      </c>
      <c r="K234" s="847">
        <v>448214484</v>
      </c>
      <c r="L234" s="841">
        <v>5058636932</v>
      </c>
      <c r="M234" s="847">
        <v>6967848354</v>
      </c>
      <c r="N234" s="839">
        <f>Indicadores[[#This Row],[Ventas]]/Indicadores[[#This Row],[Activos totales]]</f>
        <v>1.3774161790348467</v>
      </c>
      <c r="O234" s="837">
        <f>IF(Indicadores[[#This Row],[Ventas]]=0,0,Indicadores[[#This Row],[EBITDA]]/Indicadores[[#This Row],[Ventas]])</f>
        <v>6.4326096267967092E-2</v>
      </c>
      <c r="P234" s="837">
        <f>IF(Indicadores[[#This Row],[Ventas]]=0,0,Indicadores[[#This Row],[UAI]]/Indicadores[[#This Row],[Ventas]])</f>
        <v>4.5975270661006699E-2</v>
      </c>
      <c r="Q234" s="837">
        <f>IFERROR(Indicadores[[#This Row],[Ventas]]/Indicadores[[#This Row],[Activos totales]],0)</f>
        <v>1.3774161790348467</v>
      </c>
    </row>
    <row r="235" spans="1:17" hidden="1" x14ac:dyDescent="0.35">
      <c r="A235" s="13" t="str">
        <f>MID(Indicadores[[#This Row],[CIIU]],2,4)</f>
        <v>4665</v>
      </c>
      <c r="B235" s="13" t="str">
        <f>Indicadores[[#This Row],[CIIU]]&amp;Indicadores[[#This Row],[Año]]</f>
        <v>G46652016</v>
      </c>
      <c r="C235" s="14" t="s">
        <v>2803</v>
      </c>
      <c r="D235" s="14" t="s">
        <v>2823</v>
      </c>
      <c r="E235" s="848">
        <v>2016</v>
      </c>
      <c r="F235" s="856" t="s">
        <v>2878</v>
      </c>
      <c r="G235" s="858" t="s">
        <v>2879</v>
      </c>
      <c r="H235" s="848" t="s">
        <v>2880</v>
      </c>
      <c r="I235" s="693" t="s">
        <v>2879</v>
      </c>
      <c r="J235" s="847">
        <v>59254665</v>
      </c>
      <c r="K235" s="847">
        <v>70784748</v>
      </c>
      <c r="L235" s="841">
        <v>315897001</v>
      </c>
      <c r="M235" s="847">
        <v>726868778</v>
      </c>
      <c r="N235" s="839">
        <f>Indicadores[[#This Row],[Ventas]]/Indicadores[[#This Row],[Activos totales]]</f>
        <v>2.3009676435643023</v>
      </c>
      <c r="O235" s="837">
        <f>IF(Indicadores[[#This Row],[Ventas]]=0,0,Indicadores[[#This Row],[EBITDA]]/Indicadores[[#This Row],[Ventas]])</f>
        <v>9.7383118029592958E-2</v>
      </c>
      <c r="P235" s="837">
        <f>IF(Indicadores[[#This Row],[Ventas]]=0,0,Indicadores[[#This Row],[UAI]]/Indicadores[[#This Row],[Ventas]])</f>
        <v>8.1520443295199557E-2</v>
      </c>
      <c r="Q235" s="837">
        <f>IFERROR(Indicadores[[#This Row],[Ventas]]/Indicadores[[#This Row],[Activos totales]],0)</f>
        <v>2.3009676435643023</v>
      </c>
    </row>
    <row r="236" spans="1:17" hidden="1" x14ac:dyDescent="0.35">
      <c r="A236" s="13" t="str">
        <f>MID(Indicadores[[#This Row],[CIIU]],2,4)</f>
        <v>4669</v>
      </c>
      <c r="B236" s="13" t="str">
        <f>Indicadores[[#This Row],[CIIU]]&amp;Indicadores[[#This Row],[Año]]</f>
        <v>G46692016</v>
      </c>
      <c r="C236" s="14" t="s">
        <v>2803</v>
      </c>
      <c r="D236" s="14" t="s">
        <v>2823</v>
      </c>
      <c r="E236" s="848">
        <v>2016</v>
      </c>
      <c r="F236" s="856" t="s">
        <v>2881</v>
      </c>
      <c r="G236" s="858" t="s">
        <v>2882</v>
      </c>
      <c r="H236" s="848" t="s">
        <v>2883</v>
      </c>
      <c r="I236" s="693" t="s">
        <v>2882</v>
      </c>
      <c r="J236" s="847">
        <v>272858260</v>
      </c>
      <c r="K236" s="847">
        <v>414844177</v>
      </c>
      <c r="L236" s="841">
        <v>4538530667</v>
      </c>
      <c r="M236" s="847">
        <v>7531818743</v>
      </c>
      <c r="N236" s="839">
        <f>Indicadores[[#This Row],[Ventas]]/Indicadores[[#This Row],[Activos totales]]</f>
        <v>1.6595280049035306</v>
      </c>
      <c r="O236" s="837">
        <f>IF(Indicadores[[#This Row],[Ventas]]=0,0,Indicadores[[#This Row],[EBITDA]]/Indicadores[[#This Row],[Ventas]])</f>
        <v>5.50788848159088E-2</v>
      </c>
      <c r="P236" s="837">
        <f>IF(Indicadores[[#This Row],[Ventas]]=0,0,Indicadores[[#This Row],[UAI]]/Indicadores[[#This Row],[Ventas]])</f>
        <v>3.6227406594667701E-2</v>
      </c>
      <c r="Q236" s="837">
        <f>IFERROR(Indicadores[[#This Row],[Ventas]]/Indicadores[[#This Row],[Activos totales]],0)</f>
        <v>1.6595280049035306</v>
      </c>
    </row>
    <row r="237" spans="1:17" hidden="1" x14ac:dyDescent="0.35">
      <c r="A237" s="13" t="str">
        <f>MID(Indicadores[[#This Row],[CIIU]],2,4)</f>
        <v>4690</v>
      </c>
      <c r="B237" s="13" t="str">
        <f>Indicadores[[#This Row],[CIIU]]&amp;Indicadores[[#This Row],[Año]]</f>
        <v>G46902016</v>
      </c>
      <c r="C237" s="14" t="s">
        <v>2803</v>
      </c>
      <c r="D237" s="14" t="s">
        <v>2823</v>
      </c>
      <c r="E237" s="848">
        <v>2016</v>
      </c>
      <c r="F237" s="856" t="s">
        <v>2884</v>
      </c>
      <c r="G237" s="858" t="s">
        <v>2885</v>
      </c>
      <c r="H237" s="848" t="s">
        <v>2886</v>
      </c>
      <c r="I237" s="693" t="s">
        <v>2885</v>
      </c>
      <c r="J237" s="847">
        <v>811332829</v>
      </c>
      <c r="K237" s="847">
        <v>1887830115</v>
      </c>
      <c r="L237" s="841">
        <v>12054242642</v>
      </c>
      <c r="M237" s="847">
        <v>14220515440</v>
      </c>
      <c r="N237" s="839">
        <f>Indicadores[[#This Row],[Ventas]]/Indicadores[[#This Row],[Activos totales]]</f>
        <v>1.1797104025807614</v>
      </c>
      <c r="O237" s="837">
        <f>IF(Indicadores[[#This Row],[Ventas]]=0,0,Indicadores[[#This Row],[EBITDA]]/Indicadores[[#This Row],[Ventas]])</f>
        <v>0.13275398651794579</v>
      </c>
      <c r="P237" s="837">
        <f>IF(Indicadores[[#This Row],[Ventas]]=0,0,Indicadores[[#This Row],[UAI]]/Indicadores[[#This Row],[Ventas]])</f>
        <v>5.7053686444997101E-2</v>
      </c>
      <c r="Q237" s="837">
        <f>IFERROR(Indicadores[[#This Row],[Ventas]]/Indicadores[[#This Row],[Activos totales]],0)</f>
        <v>1.1797104025807614</v>
      </c>
    </row>
    <row r="238" spans="1:17" hidden="1" x14ac:dyDescent="0.35">
      <c r="A238" s="13" t="str">
        <f>MID(Indicadores[[#This Row],[CIIU]],2,4)</f>
        <v>4711</v>
      </c>
      <c r="B238" s="13" t="str">
        <f>Indicadores[[#This Row],[CIIU]]&amp;Indicadores[[#This Row],[Año]]</f>
        <v>G47112016</v>
      </c>
      <c r="C238" s="14" t="s">
        <v>2803</v>
      </c>
      <c r="D238" s="14" t="s">
        <v>2887</v>
      </c>
      <c r="E238" s="848">
        <v>2016</v>
      </c>
      <c r="F238" s="856" t="s">
        <v>2888</v>
      </c>
      <c r="G238" s="858" t="s">
        <v>2889</v>
      </c>
      <c r="H238" s="848" t="s">
        <v>2890</v>
      </c>
      <c r="I238" s="693" t="s">
        <v>2889</v>
      </c>
      <c r="J238" s="847">
        <v>-3594982</v>
      </c>
      <c r="K238" s="847">
        <v>466496979</v>
      </c>
      <c r="L238" s="841">
        <v>8845427905</v>
      </c>
      <c r="M238" s="847">
        <v>17017533605</v>
      </c>
      <c r="N238" s="839">
        <f>Indicadores[[#This Row],[Ventas]]/Indicadores[[#This Row],[Activos totales]]</f>
        <v>1.9238790692512009</v>
      </c>
      <c r="O238" s="837">
        <f>IF(Indicadores[[#This Row],[Ventas]]=0,0,Indicadores[[#This Row],[EBITDA]]/Indicadores[[#This Row],[Ventas]])</f>
        <v>2.7412725593968353E-2</v>
      </c>
      <c r="P238" s="837">
        <f>IF(Indicadores[[#This Row],[Ventas]]=0,0,Indicadores[[#This Row],[UAI]]/Indicadores[[#This Row],[Ventas]])</f>
        <v>-2.1125164688634679E-4</v>
      </c>
      <c r="Q238" s="837">
        <f>IFERROR(Indicadores[[#This Row],[Ventas]]/Indicadores[[#This Row],[Activos totales]],0)</f>
        <v>1.9238790692512009</v>
      </c>
    </row>
    <row r="239" spans="1:17" hidden="1" x14ac:dyDescent="0.35">
      <c r="A239" s="13" t="str">
        <f>MID(Indicadores[[#This Row],[CIIU]],2,4)</f>
        <v>4719</v>
      </c>
      <c r="B239" s="13" t="str">
        <f>Indicadores[[#This Row],[CIIU]]&amp;Indicadores[[#This Row],[Año]]</f>
        <v>G47192016</v>
      </c>
      <c r="C239" s="14" t="s">
        <v>2803</v>
      </c>
      <c r="D239" s="14" t="s">
        <v>2887</v>
      </c>
      <c r="E239" s="848">
        <v>2016</v>
      </c>
      <c r="F239" s="856" t="s">
        <v>2891</v>
      </c>
      <c r="G239" s="858" t="s">
        <v>2892</v>
      </c>
      <c r="H239" s="848" t="s">
        <v>2893</v>
      </c>
      <c r="I239" s="693" t="s">
        <v>2892</v>
      </c>
      <c r="J239" s="847">
        <v>228304560</v>
      </c>
      <c r="K239" s="847">
        <v>476214092</v>
      </c>
      <c r="L239" s="841">
        <v>5112516802</v>
      </c>
      <c r="M239" s="847">
        <v>7762684005</v>
      </c>
      <c r="N239" s="839">
        <f>Indicadores[[#This Row],[Ventas]]/Indicadores[[#This Row],[Activos totales]]</f>
        <v>1.5183684094619041</v>
      </c>
      <c r="O239" s="837">
        <f>IF(Indicadores[[#This Row],[Ventas]]=0,0,Indicadores[[#This Row],[EBITDA]]/Indicadores[[#This Row],[Ventas]])</f>
        <v>6.1346576994924323E-2</v>
      </c>
      <c r="P239" s="837">
        <f>IF(Indicadores[[#This Row],[Ventas]]=0,0,Indicadores[[#This Row],[UAI]]/Indicadores[[#This Row],[Ventas]])</f>
        <v>2.9410518301781628E-2</v>
      </c>
      <c r="Q239" s="837">
        <f>IFERROR(Indicadores[[#This Row],[Ventas]]/Indicadores[[#This Row],[Activos totales]],0)</f>
        <v>1.5183684094619041</v>
      </c>
    </row>
    <row r="240" spans="1:17" hidden="1" x14ac:dyDescent="0.35">
      <c r="A240" s="13" t="str">
        <f>MID(Indicadores[[#This Row],[CIIU]],2,4)</f>
        <v>4721</v>
      </c>
      <c r="B240" s="13" t="str">
        <f>Indicadores[[#This Row],[CIIU]]&amp;Indicadores[[#This Row],[Año]]</f>
        <v>G47212016</v>
      </c>
      <c r="C240" s="14" t="s">
        <v>2803</v>
      </c>
      <c r="D240" s="14" t="s">
        <v>2887</v>
      </c>
      <c r="E240" s="848">
        <v>2016</v>
      </c>
      <c r="F240" s="856" t="s">
        <v>2894</v>
      </c>
      <c r="G240" s="858" t="s">
        <v>2895</v>
      </c>
      <c r="H240" s="848" t="s">
        <v>2896</v>
      </c>
      <c r="I240" s="693" t="s">
        <v>2895</v>
      </c>
      <c r="J240" s="847">
        <v>17777275</v>
      </c>
      <c r="K240" s="847">
        <v>25828719</v>
      </c>
      <c r="L240" s="841">
        <v>273573658</v>
      </c>
      <c r="M240" s="847">
        <v>368175379</v>
      </c>
      <c r="N240" s="839">
        <f>Indicadores[[#This Row],[Ventas]]/Indicadores[[#This Row],[Activos totales]]</f>
        <v>1.3457998174663439</v>
      </c>
      <c r="O240" s="837">
        <f>IF(Indicadores[[#This Row],[Ventas]]=0,0,Indicadores[[#This Row],[EBITDA]]/Indicadores[[#This Row],[Ventas]])</f>
        <v>7.0153303216943255E-2</v>
      </c>
      <c r="P240" s="837">
        <f>IF(Indicadores[[#This Row],[Ventas]]=0,0,Indicadores[[#This Row],[UAI]]/Indicadores[[#This Row],[Ventas]])</f>
        <v>4.8284801249569707E-2</v>
      </c>
      <c r="Q240" s="837">
        <f>IFERROR(Indicadores[[#This Row],[Ventas]]/Indicadores[[#This Row],[Activos totales]],0)</f>
        <v>1.3457998174663439</v>
      </c>
    </row>
    <row r="241" spans="1:17" hidden="1" x14ac:dyDescent="0.35">
      <c r="A241" s="13" t="str">
        <f>MID(Indicadores[[#This Row],[CIIU]],2,4)</f>
        <v>4722</v>
      </c>
      <c r="B241" s="13" t="str">
        <f>Indicadores[[#This Row],[CIIU]]&amp;Indicadores[[#This Row],[Año]]</f>
        <v>G47222016</v>
      </c>
      <c r="C241" s="14" t="s">
        <v>2803</v>
      </c>
      <c r="D241" s="14" t="s">
        <v>2887</v>
      </c>
      <c r="E241" s="848">
        <v>2016</v>
      </c>
      <c r="F241" s="856" t="s">
        <v>2897</v>
      </c>
      <c r="G241" s="858" t="s">
        <v>2898</v>
      </c>
      <c r="H241" s="848" t="s">
        <v>2899</v>
      </c>
      <c r="I241" s="693" t="s">
        <v>2898</v>
      </c>
      <c r="J241" s="847">
        <v>8470263</v>
      </c>
      <c r="K241" s="847">
        <v>12086555</v>
      </c>
      <c r="L241" s="841">
        <v>165261505</v>
      </c>
      <c r="M241" s="847">
        <v>513491185</v>
      </c>
      <c r="N241" s="839">
        <f>Indicadores[[#This Row],[Ventas]]/Indicadores[[#This Row],[Activos totales]]</f>
        <v>3.1071433423046706</v>
      </c>
      <c r="O241" s="837">
        <f>IF(Indicadores[[#This Row],[Ventas]]=0,0,Indicadores[[#This Row],[EBITDA]]/Indicadores[[#This Row],[Ventas]])</f>
        <v>2.3537999001871864E-2</v>
      </c>
      <c r="P241" s="837">
        <f>IF(Indicadores[[#This Row],[Ventas]]=0,0,Indicadores[[#This Row],[UAI]]/Indicadores[[#This Row],[Ventas]])</f>
        <v>1.6495439936325296E-2</v>
      </c>
      <c r="Q241" s="837">
        <f>IFERROR(Indicadores[[#This Row],[Ventas]]/Indicadores[[#This Row],[Activos totales]],0)</f>
        <v>3.1071433423046706</v>
      </c>
    </row>
    <row r="242" spans="1:17" hidden="1" x14ac:dyDescent="0.35">
      <c r="A242" s="13" t="str">
        <f>MID(Indicadores[[#This Row],[CIIU]],2,4)</f>
        <v>4723</v>
      </c>
      <c r="B242" s="13" t="str">
        <f>Indicadores[[#This Row],[CIIU]]&amp;Indicadores[[#This Row],[Año]]</f>
        <v>G47232016</v>
      </c>
      <c r="C242" s="14" t="s">
        <v>2803</v>
      </c>
      <c r="D242" s="14" t="s">
        <v>2887</v>
      </c>
      <c r="E242" s="848">
        <v>2016</v>
      </c>
      <c r="F242" s="856" t="s">
        <v>2900</v>
      </c>
      <c r="G242" s="858" t="s">
        <v>2901</v>
      </c>
      <c r="H242" s="848" t="s">
        <v>2902</v>
      </c>
      <c r="I242" s="693" t="s">
        <v>2901</v>
      </c>
      <c r="J242" s="847">
        <v>23302376</v>
      </c>
      <c r="K242" s="847">
        <v>43799946</v>
      </c>
      <c r="L242" s="841">
        <v>291709138</v>
      </c>
      <c r="M242" s="847">
        <v>836493375</v>
      </c>
      <c r="N242" s="839">
        <f>Indicadores[[#This Row],[Ventas]]/Indicadores[[#This Row],[Activos totales]]</f>
        <v>2.8675597231376413</v>
      </c>
      <c r="O242" s="837">
        <f>IF(Indicadores[[#This Row],[Ventas]]=0,0,Indicadores[[#This Row],[EBITDA]]/Indicadores[[#This Row],[Ventas]])</f>
        <v>5.2361378235661463E-2</v>
      </c>
      <c r="P242" s="837">
        <f>IF(Indicadores[[#This Row],[Ventas]]=0,0,Indicadores[[#This Row],[UAI]]/Indicadores[[#This Row],[Ventas]])</f>
        <v>2.7857215246922907E-2</v>
      </c>
      <c r="Q242" s="837">
        <f>IFERROR(Indicadores[[#This Row],[Ventas]]/Indicadores[[#This Row],[Activos totales]],0)</f>
        <v>2.8675597231376413</v>
      </c>
    </row>
    <row r="243" spans="1:17" hidden="1" x14ac:dyDescent="0.35">
      <c r="A243" s="13" t="str">
        <f>MID(Indicadores[[#This Row],[CIIU]],2,4)</f>
        <v>4724</v>
      </c>
      <c r="B243" s="13" t="str">
        <f>Indicadores[[#This Row],[CIIU]]&amp;Indicadores[[#This Row],[Año]]</f>
        <v>G47242016</v>
      </c>
      <c r="C243" s="14" t="s">
        <v>2803</v>
      </c>
      <c r="D243" s="14" t="s">
        <v>2887</v>
      </c>
      <c r="E243" s="848">
        <v>2016</v>
      </c>
      <c r="F243" s="856" t="s">
        <v>2903</v>
      </c>
      <c r="G243" s="858" t="s">
        <v>2904</v>
      </c>
      <c r="H243" s="848" t="s">
        <v>2905</v>
      </c>
      <c r="I243" s="693" t="s">
        <v>2904</v>
      </c>
      <c r="J243" s="847">
        <v>4966225</v>
      </c>
      <c r="K243" s="847">
        <v>6887056</v>
      </c>
      <c r="L243" s="841">
        <v>93938636</v>
      </c>
      <c r="M243" s="847">
        <v>170840310</v>
      </c>
      <c r="N243" s="839">
        <f>Indicadores[[#This Row],[Ventas]]/Indicadores[[#This Row],[Activos totales]]</f>
        <v>1.8186373283086632</v>
      </c>
      <c r="O243" s="837">
        <f>IF(Indicadores[[#This Row],[Ventas]]=0,0,Indicadores[[#This Row],[EBITDA]]/Indicadores[[#This Row],[Ventas]])</f>
        <v>4.0312827809783298E-2</v>
      </c>
      <c r="P243" s="837">
        <f>IF(Indicadores[[#This Row],[Ventas]]=0,0,Indicadores[[#This Row],[UAI]]/Indicadores[[#This Row],[Ventas]])</f>
        <v>2.9069398199991558E-2</v>
      </c>
      <c r="Q243" s="837">
        <f>IFERROR(Indicadores[[#This Row],[Ventas]]/Indicadores[[#This Row],[Activos totales]],0)</f>
        <v>1.8186373283086632</v>
      </c>
    </row>
    <row r="244" spans="1:17" hidden="1" x14ac:dyDescent="0.35">
      <c r="A244" s="13" t="str">
        <f>MID(Indicadores[[#This Row],[CIIU]],2,4)</f>
        <v>4729</v>
      </c>
      <c r="B244" s="13" t="str">
        <f>Indicadores[[#This Row],[CIIU]]&amp;Indicadores[[#This Row],[Año]]</f>
        <v>G47292016</v>
      </c>
      <c r="C244" s="14" t="s">
        <v>2803</v>
      </c>
      <c r="D244" s="14" t="s">
        <v>2887</v>
      </c>
      <c r="E244" s="848">
        <v>2016</v>
      </c>
      <c r="F244" s="856" t="s">
        <v>2906</v>
      </c>
      <c r="G244" s="858" t="s">
        <v>2907</v>
      </c>
      <c r="H244" s="848" t="s">
        <v>2908</v>
      </c>
      <c r="I244" s="693" t="s">
        <v>2907</v>
      </c>
      <c r="J244" s="847">
        <v>20655030</v>
      </c>
      <c r="K244" s="847">
        <v>30285449</v>
      </c>
      <c r="L244" s="841">
        <v>279637783</v>
      </c>
      <c r="M244" s="847">
        <v>744900056</v>
      </c>
      <c r="N244" s="839">
        <f>Indicadores[[#This Row],[Ventas]]/Indicadores[[#This Row],[Activos totales]]</f>
        <v>2.6638033244599137</v>
      </c>
      <c r="O244" s="837">
        <f>IF(Indicadores[[#This Row],[Ventas]]=0,0,Indicadores[[#This Row],[EBITDA]]/Indicadores[[#This Row],[Ventas]])</f>
        <v>4.0657063663853452E-2</v>
      </c>
      <c r="P244" s="837">
        <f>IF(Indicadores[[#This Row],[Ventas]]=0,0,Indicadores[[#This Row],[UAI]]/Indicadores[[#This Row],[Ventas]])</f>
        <v>2.7728592357630324E-2</v>
      </c>
      <c r="Q244" s="837">
        <f>IFERROR(Indicadores[[#This Row],[Ventas]]/Indicadores[[#This Row],[Activos totales]],0)</f>
        <v>2.6638033244599137</v>
      </c>
    </row>
    <row r="245" spans="1:17" hidden="1" x14ac:dyDescent="0.35">
      <c r="A245" s="13" t="str">
        <f>MID(Indicadores[[#This Row],[CIIU]],2,4)</f>
        <v>4731</v>
      </c>
      <c r="B245" s="13" t="str">
        <f>Indicadores[[#This Row],[CIIU]]&amp;Indicadores[[#This Row],[Año]]</f>
        <v>G47312016</v>
      </c>
      <c r="C245" s="14" t="s">
        <v>2803</v>
      </c>
      <c r="D245" s="14" t="s">
        <v>2887</v>
      </c>
      <c r="E245" s="848">
        <v>2016</v>
      </c>
      <c r="F245" s="856" t="s">
        <v>2909</v>
      </c>
      <c r="G245" s="858" t="s">
        <v>2910</v>
      </c>
      <c r="H245" s="848" t="s">
        <v>2911</v>
      </c>
      <c r="I245" s="693" t="s">
        <v>2910</v>
      </c>
      <c r="J245" s="847">
        <v>160862876</v>
      </c>
      <c r="K245" s="847">
        <v>841273865</v>
      </c>
      <c r="L245" s="841">
        <v>3629476026</v>
      </c>
      <c r="M245" s="847">
        <v>8850427844</v>
      </c>
      <c r="N245" s="839">
        <f>Indicadores[[#This Row],[Ventas]]/Indicadores[[#This Row],[Activos totales]]</f>
        <v>2.4384863767109506</v>
      </c>
      <c r="O245" s="837">
        <f>IF(Indicadores[[#This Row],[Ventas]]=0,0,Indicadores[[#This Row],[EBITDA]]/Indicadores[[#This Row],[Ventas]])</f>
        <v>9.5054598470098547E-2</v>
      </c>
      <c r="P245" s="837">
        <f>IF(Indicadores[[#This Row],[Ventas]]=0,0,Indicadores[[#This Row],[UAI]]/Indicadores[[#This Row],[Ventas]])</f>
        <v>1.8175717472128119E-2</v>
      </c>
      <c r="Q245" s="837">
        <f>IFERROR(Indicadores[[#This Row],[Ventas]]/Indicadores[[#This Row],[Activos totales]],0)</f>
        <v>2.4384863767109506</v>
      </c>
    </row>
    <row r="246" spans="1:17" hidden="1" x14ac:dyDescent="0.35">
      <c r="A246" s="13" t="str">
        <f>MID(Indicadores[[#This Row],[CIIU]],2,4)</f>
        <v>4732</v>
      </c>
      <c r="B246" s="13" t="str">
        <f>Indicadores[[#This Row],[CIIU]]&amp;Indicadores[[#This Row],[Año]]</f>
        <v>G47322016</v>
      </c>
      <c r="C246" s="14" t="s">
        <v>2803</v>
      </c>
      <c r="D246" s="14" t="s">
        <v>2887</v>
      </c>
      <c r="E246" s="848">
        <v>2016</v>
      </c>
      <c r="F246" s="856" t="s">
        <v>2912</v>
      </c>
      <c r="G246" s="858" t="s">
        <v>2913</v>
      </c>
      <c r="H246" s="848" t="s">
        <v>2914</v>
      </c>
      <c r="I246" s="693" t="s">
        <v>2913</v>
      </c>
      <c r="J246" s="847">
        <v>21695855</v>
      </c>
      <c r="K246" s="847">
        <v>37615181</v>
      </c>
      <c r="L246" s="841">
        <v>469288411</v>
      </c>
      <c r="M246" s="847">
        <v>631972346</v>
      </c>
      <c r="N246" s="839">
        <f>Indicadores[[#This Row],[Ventas]]/Indicadores[[#This Row],[Activos totales]]</f>
        <v>1.3466608831301399</v>
      </c>
      <c r="O246" s="837">
        <f>IF(Indicadores[[#This Row],[Ventas]]=0,0,Indicadores[[#This Row],[EBITDA]]/Indicadores[[#This Row],[Ventas]])</f>
        <v>5.9520295845350173E-2</v>
      </c>
      <c r="P246" s="837">
        <f>IF(Indicadores[[#This Row],[Ventas]]=0,0,Indicadores[[#This Row],[UAI]]/Indicadores[[#This Row],[Ventas]])</f>
        <v>3.4330386665368424E-2</v>
      </c>
      <c r="Q246" s="837">
        <f>IFERROR(Indicadores[[#This Row],[Ventas]]/Indicadores[[#This Row],[Activos totales]],0)</f>
        <v>1.3466608831301399</v>
      </c>
    </row>
    <row r="247" spans="1:17" hidden="1" x14ac:dyDescent="0.35">
      <c r="A247" s="13" t="str">
        <f>MID(Indicadores[[#This Row],[CIIU]],2,4)</f>
        <v>4741</v>
      </c>
      <c r="B247" s="13" t="str">
        <f>Indicadores[[#This Row],[CIIU]]&amp;Indicadores[[#This Row],[Año]]</f>
        <v>G47412016</v>
      </c>
      <c r="C247" s="14" t="s">
        <v>2803</v>
      </c>
      <c r="D247" s="14" t="s">
        <v>2887</v>
      </c>
      <c r="E247" s="848">
        <v>2016</v>
      </c>
      <c r="F247" s="856" t="s">
        <v>2915</v>
      </c>
      <c r="G247" s="858" t="s">
        <v>2916</v>
      </c>
      <c r="H247" s="848" t="s">
        <v>2917</v>
      </c>
      <c r="I247" s="693" t="s">
        <v>2916</v>
      </c>
      <c r="J247" s="847">
        <v>52874010</v>
      </c>
      <c r="K247" s="847">
        <v>110450623</v>
      </c>
      <c r="L247" s="841">
        <v>919854639</v>
      </c>
      <c r="M247" s="847">
        <v>1897984961</v>
      </c>
      <c r="N247" s="839">
        <f>Indicadores[[#This Row],[Ventas]]/Indicadores[[#This Row],[Activos totales]]</f>
        <v>2.0633531435611969</v>
      </c>
      <c r="O247" s="837">
        <f>IF(Indicadores[[#This Row],[Ventas]]=0,0,Indicadores[[#This Row],[EBITDA]]/Indicadores[[#This Row],[Ventas]])</f>
        <v>5.8193623906169611E-2</v>
      </c>
      <c r="P247" s="837">
        <f>IF(Indicadores[[#This Row],[Ventas]]=0,0,Indicadores[[#This Row],[UAI]]/Indicadores[[#This Row],[Ventas]])</f>
        <v>2.7857970998959879E-2</v>
      </c>
      <c r="Q247" s="837">
        <f>IFERROR(Indicadores[[#This Row],[Ventas]]/Indicadores[[#This Row],[Activos totales]],0)</f>
        <v>2.0633531435611969</v>
      </c>
    </row>
    <row r="248" spans="1:17" hidden="1" x14ac:dyDescent="0.35">
      <c r="A248" s="13" t="str">
        <f>MID(Indicadores[[#This Row],[CIIU]],2,4)</f>
        <v>4742</v>
      </c>
      <c r="B248" s="13" t="str">
        <f>Indicadores[[#This Row],[CIIU]]&amp;Indicadores[[#This Row],[Año]]</f>
        <v>G47422016</v>
      </c>
      <c r="C248" s="14" t="s">
        <v>2803</v>
      </c>
      <c r="D248" s="14" t="s">
        <v>2887</v>
      </c>
      <c r="E248" s="848">
        <v>2016</v>
      </c>
      <c r="F248" s="856" t="s">
        <v>2918</v>
      </c>
      <c r="G248" s="858" t="s">
        <v>2919</v>
      </c>
      <c r="H248" s="848" t="s">
        <v>2920</v>
      </c>
      <c r="I248" s="693" t="s">
        <v>2919</v>
      </c>
      <c r="J248" s="847">
        <v>19368336</v>
      </c>
      <c r="K248" s="847">
        <v>21280426</v>
      </c>
      <c r="L248" s="841">
        <v>139172152</v>
      </c>
      <c r="M248" s="847">
        <v>172744187</v>
      </c>
      <c r="N248" s="839">
        <f>Indicadores[[#This Row],[Ventas]]/Indicadores[[#This Row],[Activos totales]]</f>
        <v>1.2412266715542346</v>
      </c>
      <c r="O248" s="837">
        <f>IF(Indicadores[[#This Row],[Ventas]]=0,0,Indicadores[[#This Row],[EBITDA]]/Indicadores[[#This Row],[Ventas]])</f>
        <v>0.12319040292800128</v>
      </c>
      <c r="P248" s="837">
        <f>IF(Indicadores[[#This Row],[Ventas]]=0,0,Indicadores[[#This Row],[UAI]]/Indicadores[[#This Row],[Ventas]])</f>
        <v>0.11212149211133803</v>
      </c>
      <c r="Q248" s="837">
        <f>IFERROR(Indicadores[[#This Row],[Ventas]]/Indicadores[[#This Row],[Activos totales]],0)</f>
        <v>1.2412266715542346</v>
      </c>
    </row>
    <row r="249" spans="1:17" hidden="1" x14ac:dyDescent="0.35">
      <c r="A249" s="13" t="str">
        <f>MID(Indicadores[[#This Row],[CIIU]],2,4)</f>
        <v>4751</v>
      </c>
      <c r="B249" s="13" t="str">
        <f>Indicadores[[#This Row],[CIIU]]&amp;Indicadores[[#This Row],[Año]]</f>
        <v>G47512016</v>
      </c>
      <c r="C249" s="14" t="s">
        <v>2803</v>
      </c>
      <c r="D249" s="14" t="s">
        <v>2887</v>
      </c>
      <c r="E249" s="848">
        <v>2016</v>
      </c>
      <c r="F249" s="856" t="s">
        <v>2921</v>
      </c>
      <c r="G249" s="858" t="s">
        <v>2922</v>
      </c>
      <c r="H249" s="848" t="s">
        <v>2923</v>
      </c>
      <c r="I249" s="693" t="s">
        <v>2922</v>
      </c>
      <c r="J249" s="847">
        <v>44069180</v>
      </c>
      <c r="K249" s="847">
        <v>61096909</v>
      </c>
      <c r="L249" s="841">
        <v>583386430</v>
      </c>
      <c r="M249" s="847">
        <v>613508048</v>
      </c>
      <c r="N249" s="839">
        <f>Indicadores[[#This Row],[Ventas]]/Indicadores[[#This Row],[Activos totales]]</f>
        <v>1.0516323597036701</v>
      </c>
      <c r="O249" s="837">
        <f>IF(Indicadores[[#This Row],[Ventas]]=0,0,Indicadores[[#This Row],[EBITDA]]/Indicadores[[#This Row],[Ventas]])</f>
        <v>9.9586157344100562E-2</v>
      </c>
      <c r="P249" s="837">
        <f>IF(Indicadores[[#This Row],[Ventas]]=0,0,Indicadores[[#This Row],[UAI]]/Indicadores[[#This Row],[Ventas]])</f>
        <v>7.1831461940333019E-2</v>
      </c>
      <c r="Q249" s="837">
        <f>IFERROR(Indicadores[[#This Row],[Ventas]]/Indicadores[[#This Row],[Activos totales]],0)</f>
        <v>1.0516323597036701</v>
      </c>
    </row>
    <row r="250" spans="1:17" hidden="1" x14ac:dyDescent="0.35">
      <c r="A250" s="13" t="str">
        <f>MID(Indicadores[[#This Row],[CIIU]],2,4)</f>
        <v>4752</v>
      </c>
      <c r="B250" s="13" t="str">
        <f>Indicadores[[#This Row],[CIIU]]&amp;Indicadores[[#This Row],[Año]]</f>
        <v>G47522016</v>
      </c>
      <c r="C250" s="14" t="s">
        <v>2803</v>
      </c>
      <c r="D250" s="14" t="s">
        <v>2887</v>
      </c>
      <c r="E250" s="848">
        <v>2016</v>
      </c>
      <c r="F250" s="856" t="s">
        <v>2924</v>
      </c>
      <c r="G250" s="858" t="s">
        <v>2925</v>
      </c>
      <c r="H250" s="848" t="s">
        <v>2926</v>
      </c>
      <c r="I250" s="693" t="s">
        <v>2925</v>
      </c>
      <c r="J250" s="847">
        <v>132295565</v>
      </c>
      <c r="K250" s="847">
        <v>201756934</v>
      </c>
      <c r="L250" s="841">
        <v>2121443103</v>
      </c>
      <c r="M250" s="847">
        <v>3096820748</v>
      </c>
      <c r="N250" s="839">
        <f>Indicadores[[#This Row],[Ventas]]/Indicadores[[#This Row],[Activos totales]]</f>
        <v>1.4597708246903665</v>
      </c>
      <c r="O250" s="837">
        <f>IF(Indicadores[[#This Row],[Ventas]]=0,0,Indicadores[[#This Row],[EBITDA]]/Indicadores[[#This Row],[Ventas]])</f>
        <v>6.514969719519588E-2</v>
      </c>
      <c r="P250" s="837">
        <f>IF(Indicadores[[#This Row],[Ventas]]=0,0,Indicadores[[#This Row],[UAI]]/Indicadores[[#This Row],[Ventas]])</f>
        <v>4.2719800648920218E-2</v>
      </c>
      <c r="Q250" s="837">
        <f>IFERROR(Indicadores[[#This Row],[Ventas]]/Indicadores[[#This Row],[Activos totales]],0)</f>
        <v>1.4597708246903665</v>
      </c>
    </row>
    <row r="251" spans="1:17" hidden="1" x14ac:dyDescent="0.35">
      <c r="A251" s="13" t="str">
        <f>MID(Indicadores[[#This Row],[CIIU]],2,4)</f>
        <v>4753</v>
      </c>
      <c r="B251" s="13" t="str">
        <f>Indicadores[[#This Row],[CIIU]]&amp;Indicadores[[#This Row],[Año]]</f>
        <v>G47532016</v>
      </c>
      <c r="C251" s="14" t="s">
        <v>2803</v>
      </c>
      <c r="D251" s="14" t="s">
        <v>2887</v>
      </c>
      <c r="E251" s="848">
        <v>2016</v>
      </c>
      <c r="F251" s="856" t="s">
        <v>2927</v>
      </c>
      <c r="G251" s="858" t="s">
        <v>2928</v>
      </c>
      <c r="H251" s="848" t="s">
        <v>2929</v>
      </c>
      <c r="I251" s="693" t="s">
        <v>2928</v>
      </c>
      <c r="J251" s="847">
        <v>3028049</v>
      </c>
      <c r="K251" s="847">
        <v>4603527</v>
      </c>
      <c r="L251" s="841">
        <v>42725891</v>
      </c>
      <c r="M251" s="847">
        <v>78145439</v>
      </c>
      <c r="N251" s="839">
        <f>Indicadores[[#This Row],[Ventas]]/Indicadores[[#This Row],[Activos totales]]</f>
        <v>1.8289949529665748</v>
      </c>
      <c r="O251" s="837">
        <f>IF(Indicadores[[#This Row],[Ventas]]=0,0,Indicadores[[#This Row],[EBITDA]]/Indicadores[[#This Row],[Ventas]])</f>
        <v>5.8909733682601745E-2</v>
      </c>
      <c r="P251" s="837">
        <f>IF(Indicadores[[#This Row],[Ventas]]=0,0,Indicadores[[#This Row],[UAI]]/Indicadores[[#This Row],[Ventas]])</f>
        <v>3.8748889746463643E-2</v>
      </c>
      <c r="Q251" s="837">
        <f>IFERROR(Indicadores[[#This Row],[Ventas]]/Indicadores[[#This Row],[Activos totales]],0)</f>
        <v>1.8289949529665748</v>
      </c>
    </row>
    <row r="252" spans="1:17" hidden="1" x14ac:dyDescent="0.35">
      <c r="A252" s="13" t="str">
        <f>MID(Indicadores[[#This Row],[CIIU]],2,4)</f>
        <v>4754</v>
      </c>
      <c r="B252" s="13" t="str">
        <f>Indicadores[[#This Row],[CIIU]]&amp;Indicadores[[#This Row],[Año]]</f>
        <v>G47542016</v>
      </c>
      <c r="C252" s="14" t="s">
        <v>2803</v>
      </c>
      <c r="D252" s="14" t="s">
        <v>2887</v>
      </c>
      <c r="E252" s="848">
        <v>2016</v>
      </c>
      <c r="F252" s="856" t="s">
        <v>2930</v>
      </c>
      <c r="G252" s="858" t="s">
        <v>2931</v>
      </c>
      <c r="H252" s="848" t="s">
        <v>2932</v>
      </c>
      <c r="I252" s="693" t="s">
        <v>2931</v>
      </c>
      <c r="J252" s="847">
        <v>54275523</v>
      </c>
      <c r="K252" s="847">
        <v>111983004</v>
      </c>
      <c r="L252" s="841">
        <v>1668012868</v>
      </c>
      <c r="M252" s="847">
        <v>1928303624</v>
      </c>
      <c r="N252" s="839">
        <f>Indicadores[[#This Row],[Ventas]]/Indicadores[[#This Row],[Activos totales]]</f>
        <v>1.156048410053393</v>
      </c>
      <c r="O252" s="837">
        <f>IF(Indicadores[[#This Row],[Ventas]]=0,0,Indicadores[[#This Row],[EBITDA]]/Indicadores[[#This Row],[Ventas]])</f>
        <v>5.8073325489948882E-2</v>
      </c>
      <c r="P252" s="837">
        <f>IF(Indicadores[[#This Row],[Ventas]]=0,0,Indicadores[[#This Row],[UAI]]/Indicadores[[#This Row],[Ventas]])</f>
        <v>2.8146772284446009E-2</v>
      </c>
      <c r="Q252" s="837">
        <f>IFERROR(Indicadores[[#This Row],[Ventas]]/Indicadores[[#This Row],[Activos totales]],0)</f>
        <v>1.156048410053393</v>
      </c>
    </row>
    <row r="253" spans="1:17" hidden="1" x14ac:dyDescent="0.35">
      <c r="A253" s="13" t="str">
        <f>MID(Indicadores[[#This Row],[CIIU]],2,4)</f>
        <v>4755</v>
      </c>
      <c r="B253" s="13" t="str">
        <f>Indicadores[[#This Row],[CIIU]]&amp;Indicadores[[#This Row],[Año]]</f>
        <v>G47552016</v>
      </c>
      <c r="C253" s="14" t="s">
        <v>2803</v>
      </c>
      <c r="D253" s="14" t="s">
        <v>2887</v>
      </c>
      <c r="E253" s="848">
        <v>2016</v>
      </c>
      <c r="F253" s="856" t="s">
        <v>2933</v>
      </c>
      <c r="G253" s="858" t="s">
        <v>2934</v>
      </c>
      <c r="H253" s="848" t="s">
        <v>2935</v>
      </c>
      <c r="I253" s="693" t="s">
        <v>2934</v>
      </c>
      <c r="J253" s="847">
        <v>13467517</v>
      </c>
      <c r="K253" s="847">
        <v>41802990</v>
      </c>
      <c r="L253" s="841">
        <v>484171214</v>
      </c>
      <c r="M253" s="847">
        <v>610592867</v>
      </c>
      <c r="N253" s="839">
        <f>Indicadores[[#This Row],[Ventas]]/Indicadores[[#This Row],[Activos totales]]</f>
        <v>1.2611093954875228</v>
      </c>
      <c r="O253" s="837">
        <f>IF(Indicadores[[#This Row],[Ventas]]=0,0,Indicadores[[#This Row],[EBITDA]]/Indicadores[[#This Row],[Ventas]])</f>
        <v>6.846295176258585E-2</v>
      </c>
      <c r="P253" s="837">
        <f>IF(Indicadores[[#This Row],[Ventas]]=0,0,Indicadores[[#This Row],[UAI]]/Indicadores[[#This Row],[Ventas]])</f>
        <v>2.2056459758806844E-2</v>
      </c>
      <c r="Q253" s="837">
        <f>IFERROR(Indicadores[[#This Row],[Ventas]]/Indicadores[[#This Row],[Activos totales]],0)</f>
        <v>1.2611093954875228</v>
      </c>
    </row>
    <row r="254" spans="1:17" hidden="1" x14ac:dyDescent="0.35">
      <c r="A254" s="13" t="str">
        <f>MID(Indicadores[[#This Row],[CIIU]],2,4)</f>
        <v>4759</v>
      </c>
      <c r="B254" s="13" t="str">
        <f>Indicadores[[#This Row],[CIIU]]&amp;Indicadores[[#This Row],[Año]]</f>
        <v>G47592016</v>
      </c>
      <c r="C254" s="14" t="s">
        <v>2803</v>
      </c>
      <c r="D254" s="14" t="s">
        <v>2887</v>
      </c>
      <c r="E254" s="848">
        <v>2016</v>
      </c>
      <c r="F254" s="856" t="s">
        <v>2936</v>
      </c>
      <c r="G254" s="858" t="s">
        <v>2937</v>
      </c>
      <c r="H254" s="848" t="s">
        <v>2938</v>
      </c>
      <c r="I254" s="693" t="s">
        <v>2937</v>
      </c>
      <c r="J254" s="847">
        <v>41080172</v>
      </c>
      <c r="K254" s="847">
        <v>56121784</v>
      </c>
      <c r="L254" s="841">
        <v>347830376</v>
      </c>
      <c r="M254" s="847">
        <v>507821538</v>
      </c>
      <c r="N254" s="839">
        <f>Indicadores[[#This Row],[Ventas]]/Indicadores[[#This Row],[Activos totales]]</f>
        <v>1.4599689188732614</v>
      </c>
      <c r="O254" s="837">
        <f>IF(Indicadores[[#This Row],[Ventas]]=0,0,Indicadores[[#This Row],[EBITDA]]/Indicadores[[#This Row],[Ventas]])</f>
        <v>0.11051477694512438</v>
      </c>
      <c r="P254" s="837">
        <f>IF(Indicadores[[#This Row],[Ventas]]=0,0,Indicadores[[#This Row],[UAI]]/Indicadores[[#This Row],[Ventas]])</f>
        <v>8.0894898947748053E-2</v>
      </c>
      <c r="Q254" s="837">
        <f>IFERROR(Indicadores[[#This Row],[Ventas]]/Indicadores[[#This Row],[Activos totales]],0)</f>
        <v>1.4599689188732614</v>
      </c>
    </row>
    <row r="255" spans="1:17" hidden="1" x14ac:dyDescent="0.35">
      <c r="A255" s="13" t="str">
        <f>MID(Indicadores[[#This Row],[CIIU]],2,4)</f>
        <v>4761</v>
      </c>
      <c r="B255" s="13" t="str">
        <f>Indicadores[[#This Row],[CIIU]]&amp;Indicadores[[#This Row],[Año]]</f>
        <v>G47612016</v>
      </c>
      <c r="C255" s="14" t="s">
        <v>2803</v>
      </c>
      <c r="D255" s="14" t="s">
        <v>2887</v>
      </c>
      <c r="E255" s="848">
        <v>2016</v>
      </c>
      <c r="F255" s="856" t="s">
        <v>2939</v>
      </c>
      <c r="G255" s="858" t="s">
        <v>2940</v>
      </c>
      <c r="H255" s="848" t="s">
        <v>2941</v>
      </c>
      <c r="I255" s="693" t="s">
        <v>2940</v>
      </c>
      <c r="J255" s="847">
        <v>86370393</v>
      </c>
      <c r="K255" s="847">
        <v>122041601</v>
      </c>
      <c r="L255" s="841">
        <v>1552304907</v>
      </c>
      <c r="M255" s="847">
        <v>1417079820</v>
      </c>
      <c r="N255" s="839">
        <f>Indicadores[[#This Row],[Ventas]]/Indicadores[[#This Row],[Activos totales]]</f>
        <v>0.91288754780699799</v>
      </c>
      <c r="O255" s="837">
        <f>IF(Indicadores[[#This Row],[Ventas]]=0,0,Indicadores[[#This Row],[EBITDA]]/Indicadores[[#This Row],[Ventas]])</f>
        <v>8.6121896083454219E-2</v>
      </c>
      <c r="P255" s="837">
        <f>IF(Indicadores[[#This Row],[Ventas]]=0,0,Indicadores[[#This Row],[UAI]]/Indicadores[[#This Row],[Ventas]])</f>
        <v>6.0949561048720603E-2</v>
      </c>
      <c r="Q255" s="837">
        <f>IFERROR(Indicadores[[#This Row],[Ventas]]/Indicadores[[#This Row],[Activos totales]],0)</f>
        <v>0.91288754780699799</v>
      </c>
    </row>
    <row r="256" spans="1:17" hidden="1" x14ac:dyDescent="0.35">
      <c r="A256" s="13" t="str">
        <f>MID(Indicadores[[#This Row],[CIIU]],2,4)</f>
        <v>4762</v>
      </c>
      <c r="B256" s="13" t="str">
        <f>Indicadores[[#This Row],[CIIU]]&amp;Indicadores[[#This Row],[Año]]</f>
        <v>G47622016</v>
      </c>
      <c r="C256" s="14" t="s">
        <v>2803</v>
      </c>
      <c r="D256" s="14" t="s">
        <v>2887</v>
      </c>
      <c r="E256" s="848">
        <v>2016</v>
      </c>
      <c r="F256" s="856" t="s">
        <v>2942</v>
      </c>
      <c r="G256" s="858" t="s">
        <v>2943</v>
      </c>
      <c r="H256" s="848" t="s">
        <v>2944</v>
      </c>
      <c r="I256" s="693" t="s">
        <v>2945</v>
      </c>
      <c r="J256" s="847">
        <v>6143639</v>
      </c>
      <c r="K256" s="847">
        <v>12934080</v>
      </c>
      <c r="L256" s="841">
        <v>170167651</v>
      </c>
      <c r="M256" s="847">
        <v>149678712</v>
      </c>
      <c r="N256" s="839">
        <f>Indicadores[[#This Row],[Ventas]]/Indicadores[[#This Row],[Activos totales]]</f>
        <v>0.87959557013571277</v>
      </c>
      <c r="O256" s="837">
        <f>IF(Indicadores[[#This Row],[Ventas]]=0,0,Indicadores[[#This Row],[EBITDA]]/Indicadores[[#This Row],[Ventas]])</f>
        <v>8.641228820835925E-2</v>
      </c>
      <c r="P256" s="837">
        <f>IF(Indicadores[[#This Row],[Ventas]]=0,0,Indicadores[[#This Row],[UAI]]/Indicadores[[#This Row],[Ventas]])</f>
        <v>4.1045509531108207E-2</v>
      </c>
      <c r="Q256" s="837">
        <f>IFERROR(Indicadores[[#This Row],[Ventas]]/Indicadores[[#This Row],[Activos totales]],0)</f>
        <v>0.87959557013571277</v>
      </c>
    </row>
    <row r="257" spans="1:17" hidden="1" x14ac:dyDescent="0.35">
      <c r="A257" s="13" t="str">
        <f>MID(Indicadores[[#This Row],[CIIU]],2,4)</f>
        <v>4769</v>
      </c>
      <c r="B257" s="13" t="str">
        <f>Indicadores[[#This Row],[CIIU]]&amp;Indicadores[[#This Row],[Año]]</f>
        <v>G47692016</v>
      </c>
      <c r="C257" s="14" t="s">
        <v>2803</v>
      </c>
      <c r="D257" s="14" t="s">
        <v>2887</v>
      </c>
      <c r="E257" s="848">
        <v>2016</v>
      </c>
      <c r="F257" s="856" t="s">
        <v>2946</v>
      </c>
      <c r="G257" s="858" t="s">
        <v>2947</v>
      </c>
      <c r="H257" s="848" t="s">
        <v>2948</v>
      </c>
      <c r="I257" s="693" t="s">
        <v>2947</v>
      </c>
      <c r="J257" s="847">
        <v>817092</v>
      </c>
      <c r="K257" s="847">
        <v>1473065</v>
      </c>
      <c r="L257" s="841">
        <v>25533014</v>
      </c>
      <c r="M257" s="847">
        <v>29388268</v>
      </c>
      <c r="N257" s="839">
        <f>Indicadores[[#This Row],[Ventas]]/Indicadores[[#This Row],[Activos totales]]</f>
        <v>1.1509909484246552</v>
      </c>
      <c r="O257" s="837">
        <f>IF(Indicadores[[#This Row],[Ventas]]=0,0,Indicadores[[#This Row],[EBITDA]]/Indicadores[[#This Row],[Ventas]])</f>
        <v>5.0124253664761732E-2</v>
      </c>
      <c r="P257" s="837">
        <f>IF(Indicadores[[#This Row],[Ventas]]=0,0,Indicadores[[#This Row],[UAI]]/Indicadores[[#This Row],[Ventas]])</f>
        <v>2.7803339754489786E-2</v>
      </c>
      <c r="Q257" s="837">
        <f>IFERROR(Indicadores[[#This Row],[Ventas]]/Indicadores[[#This Row],[Activos totales]],0)</f>
        <v>1.1509909484246552</v>
      </c>
    </row>
    <row r="258" spans="1:17" hidden="1" x14ac:dyDescent="0.35">
      <c r="A258" s="13" t="str">
        <f>MID(Indicadores[[#This Row],[CIIU]],2,4)</f>
        <v>4771</v>
      </c>
      <c r="B258" s="13" t="str">
        <f>Indicadores[[#This Row],[CIIU]]&amp;Indicadores[[#This Row],[Año]]</f>
        <v>G47712016</v>
      </c>
      <c r="C258" s="14" t="s">
        <v>2803</v>
      </c>
      <c r="D258" s="14" t="s">
        <v>2887</v>
      </c>
      <c r="E258" s="848">
        <v>2016</v>
      </c>
      <c r="F258" s="856" t="s">
        <v>2949</v>
      </c>
      <c r="G258" s="858" t="s">
        <v>2950</v>
      </c>
      <c r="H258" s="848" t="s">
        <v>2951</v>
      </c>
      <c r="I258" s="693" t="s">
        <v>2950</v>
      </c>
      <c r="J258" s="847">
        <v>250308931</v>
      </c>
      <c r="K258" s="847">
        <v>400223663</v>
      </c>
      <c r="L258" s="841">
        <v>2749883407</v>
      </c>
      <c r="M258" s="847">
        <v>4170944336</v>
      </c>
      <c r="N258" s="839">
        <f>Indicadores[[#This Row],[Ventas]]/Indicadores[[#This Row],[Activos totales]]</f>
        <v>1.5167713385166079</v>
      </c>
      <c r="O258" s="837">
        <f>IF(Indicadores[[#This Row],[Ventas]]=0,0,Indicadores[[#This Row],[EBITDA]]/Indicadores[[#This Row],[Ventas]])</f>
        <v>9.5955167645277339E-2</v>
      </c>
      <c r="P258" s="837">
        <f>IF(Indicadores[[#This Row],[Ventas]]=0,0,Indicadores[[#This Row],[UAI]]/Indicadores[[#This Row],[Ventas]])</f>
        <v>6.0012532135600288E-2</v>
      </c>
      <c r="Q258" s="837">
        <f>IFERROR(Indicadores[[#This Row],[Ventas]]/Indicadores[[#This Row],[Activos totales]],0)</f>
        <v>1.5167713385166079</v>
      </c>
    </row>
    <row r="259" spans="1:17" hidden="1" x14ac:dyDescent="0.35">
      <c r="A259" s="13" t="str">
        <f>MID(Indicadores[[#This Row],[CIIU]],2,4)</f>
        <v>4772</v>
      </c>
      <c r="B259" s="13" t="str">
        <f>Indicadores[[#This Row],[CIIU]]&amp;Indicadores[[#This Row],[Año]]</f>
        <v>G47722016</v>
      </c>
      <c r="C259" s="14" t="s">
        <v>2803</v>
      </c>
      <c r="D259" s="14" t="s">
        <v>2887</v>
      </c>
      <c r="E259" s="848">
        <v>2016</v>
      </c>
      <c r="F259" s="856" t="s">
        <v>2952</v>
      </c>
      <c r="G259" s="858" t="s">
        <v>2953</v>
      </c>
      <c r="H259" s="848" t="s">
        <v>2954</v>
      </c>
      <c r="I259" s="693" t="s">
        <v>2955</v>
      </c>
      <c r="J259" s="847">
        <v>-103098035</v>
      </c>
      <c r="K259" s="847">
        <v>-63080384</v>
      </c>
      <c r="L259" s="841">
        <v>1090741853</v>
      </c>
      <c r="M259" s="847">
        <v>1350607615</v>
      </c>
      <c r="N259" s="839">
        <f>Indicadores[[#This Row],[Ventas]]/Indicadores[[#This Row],[Activos totales]]</f>
        <v>1.2382468054061184</v>
      </c>
      <c r="O259" s="837">
        <f>IF(Indicadores[[#This Row],[Ventas]]=0,0,Indicadores[[#This Row],[EBITDA]]/Indicadores[[#This Row],[Ventas]])</f>
        <v>-4.6705189056704677E-2</v>
      </c>
      <c r="P259" s="837">
        <f>IF(Indicadores[[#This Row],[Ventas]]=0,0,Indicadores[[#This Row],[UAI]]/Indicadores[[#This Row],[Ventas]])</f>
        <v>-7.6334557761248811E-2</v>
      </c>
      <c r="Q259" s="837">
        <f>IFERROR(Indicadores[[#This Row],[Ventas]]/Indicadores[[#This Row],[Activos totales]],0)</f>
        <v>1.2382468054061184</v>
      </c>
    </row>
    <row r="260" spans="1:17" hidden="1" x14ac:dyDescent="0.35">
      <c r="A260" s="13" t="str">
        <f>MID(Indicadores[[#This Row],[CIIU]],2,4)</f>
        <v>4773</v>
      </c>
      <c r="B260" s="13" t="str">
        <f>Indicadores[[#This Row],[CIIU]]&amp;Indicadores[[#This Row],[Año]]</f>
        <v>G47732016</v>
      </c>
      <c r="C260" s="14" t="s">
        <v>2803</v>
      </c>
      <c r="D260" s="14" t="s">
        <v>2887</v>
      </c>
      <c r="E260" s="848">
        <v>2016</v>
      </c>
      <c r="F260" s="856" t="s">
        <v>2956</v>
      </c>
      <c r="G260" s="858" t="s">
        <v>2957</v>
      </c>
      <c r="H260" s="848" t="s">
        <v>2958</v>
      </c>
      <c r="I260" s="693" t="s">
        <v>2957</v>
      </c>
      <c r="J260" s="847">
        <v>76856283</v>
      </c>
      <c r="K260" s="847">
        <v>190056419</v>
      </c>
      <c r="L260" s="841">
        <v>2866589148</v>
      </c>
      <c r="M260" s="847">
        <v>3812025667</v>
      </c>
      <c r="N260" s="839">
        <f>Indicadores[[#This Row],[Ventas]]/Indicadores[[#This Row],[Activos totales]]</f>
        <v>1.3298123554467596</v>
      </c>
      <c r="O260" s="837">
        <f>IF(Indicadores[[#This Row],[Ventas]]=0,0,Indicadores[[#This Row],[EBITDA]]/Indicadores[[#This Row],[Ventas]])</f>
        <v>4.9857066977613294E-2</v>
      </c>
      <c r="P260" s="837">
        <f>IF(Indicadores[[#This Row],[Ventas]]=0,0,Indicadores[[#This Row],[UAI]]/Indicadores[[#This Row],[Ventas]])</f>
        <v>2.0161533450661313E-2</v>
      </c>
      <c r="Q260" s="837">
        <f>IFERROR(Indicadores[[#This Row],[Ventas]]/Indicadores[[#This Row],[Activos totales]],0)</f>
        <v>1.3298123554467596</v>
      </c>
    </row>
    <row r="261" spans="1:17" hidden="1" x14ac:dyDescent="0.35">
      <c r="A261" s="13" t="str">
        <f>MID(Indicadores[[#This Row],[CIIU]],2,4)</f>
        <v>4774</v>
      </c>
      <c r="B261" s="13" t="str">
        <f>Indicadores[[#This Row],[CIIU]]&amp;Indicadores[[#This Row],[Año]]</f>
        <v>G47742016</v>
      </c>
      <c r="C261" s="14" t="s">
        <v>2803</v>
      </c>
      <c r="D261" s="14" t="s">
        <v>2887</v>
      </c>
      <c r="E261" s="848">
        <v>2016</v>
      </c>
      <c r="F261" s="856" t="s">
        <v>2959</v>
      </c>
      <c r="G261" s="858" t="s">
        <v>2960</v>
      </c>
      <c r="H261" s="848" t="s">
        <v>2961</v>
      </c>
      <c r="I261" s="693" t="s">
        <v>2960</v>
      </c>
      <c r="J261" s="847">
        <v>95105642</v>
      </c>
      <c r="K261" s="847">
        <v>134163958</v>
      </c>
      <c r="L261" s="841">
        <v>1378967021</v>
      </c>
      <c r="M261" s="847">
        <v>1801187747</v>
      </c>
      <c r="N261" s="839">
        <f>Indicadores[[#This Row],[Ventas]]/Indicadores[[#This Row],[Activos totales]]</f>
        <v>1.306186239097882</v>
      </c>
      <c r="O261" s="837">
        <f>IF(Indicadores[[#This Row],[Ventas]]=0,0,Indicadores[[#This Row],[EBITDA]]/Indicadores[[#This Row],[Ventas]])</f>
        <v>7.4486381679788327E-2</v>
      </c>
      <c r="P261" s="837">
        <f>IF(Indicadores[[#This Row],[Ventas]]=0,0,Indicadores[[#This Row],[UAI]]/Indicadores[[#This Row],[Ventas]])</f>
        <v>5.280162612609645E-2</v>
      </c>
      <c r="Q261" s="837">
        <f>IFERROR(Indicadores[[#This Row],[Ventas]]/Indicadores[[#This Row],[Activos totales]],0)</f>
        <v>1.306186239097882</v>
      </c>
    </row>
    <row r="262" spans="1:17" hidden="1" x14ac:dyDescent="0.35">
      <c r="A262" s="13" t="str">
        <f>MID(Indicadores[[#This Row],[CIIU]],2,4)</f>
        <v>4775</v>
      </c>
      <c r="B262" s="13" t="str">
        <f>Indicadores[[#This Row],[CIIU]]&amp;Indicadores[[#This Row],[Año]]</f>
        <v>G47752016</v>
      </c>
      <c r="C262" s="14" t="s">
        <v>2803</v>
      </c>
      <c r="D262" s="14" t="s">
        <v>2887</v>
      </c>
      <c r="E262" s="848">
        <v>2016</v>
      </c>
      <c r="F262" s="856" t="s">
        <v>2962</v>
      </c>
      <c r="G262" s="858" t="s">
        <v>2963</v>
      </c>
      <c r="H262" s="848" t="s">
        <v>2964</v>
      </c>
      <c r="I262" s="693" t="s">
        <v>2963</v>
      </c>
      <c r="J262" s="847">
        <v>4812545</v>
      </c>
      <c r="K262" s="847">
        <v>438780</v>
      </c>
      <c r="L262" s="841">
        <v>77035559</v>
      </c>
      <c r="M262" s="847">
        <v>39723366</v>
      </c>
      <c r="N262" s="839">
        <f>Indicadores[[#This Row],[Ventas]]/Indicadores[[#This Row],[Activos totales]]</f>
        <v>0.51564974040105294</v>
      </c>
      <c r="O262" s="837">
        <f>IF(Indicadores[[#This Row],[Ventas]]=0,0,Indicadores[[#This Row],[EBITDA]]/Indicadores[[#This Row],[Ventas]])</f>
        <v>1.1045891730323155E-2</v>
      </c>
      <c r="P262" s="837">
        <f>IF(Indicadores[[#This Row],[Ventas]]=0,0,Indicadores[[#This Row],[UAI]]/Indicadores[[#This Row],[Ventas]])</f>
        <v>0.12115149053582216</v>
      </c>
      <c r="Q262" s="837">
        <f>IFERROR(Indicadores[[#This Row],[Ventas]]/Indicadores[[#This Row],[Activos totales]],0)</f>
        <v>0.51564974040105294</v>
      </c>
    </row>
    <row r="263" spans="1:17" hidden="1" x14ac:dyDescent="0.35">
      <c r="A263" s="13" t="str">
        <f>MID(Indicadores[[#This Row],[CIIU]],2,4)</f>
        <v>4781</v>
      </c>
      <c r="B263" s="13" t="str">
        <f>Indicadores[[#This Row],[CIIU]]&amp;Indicadores[[#This Row],[Año]]</f>
        <v>G47812016</v>
      </c>
      <c r="C263" s="14" t="s">
        <v>2803</v>
      </c>
      <c r="D263" s="14" t="s">
        <v>2887</v>
      </c>
      <c r="E263" s="848">
        <v>2016</v>
      </c>
      <c r="F263" s="856" t="s">
        <v>2965</v>
      </c>
      <c r="G263" s="857" t="s">
        <v>2966</v>
      </c>
      <c r="H263" s="848" t="s">
        <v>2967</v>
      </c>
      <c r="I263" s="693" t="s">
        <v>2966</v>
      </c>
      <c r="J263" s="847">
        <v>3013725</v>
      </c>
      <c r="K263" s="847">
        <v>3026531</v>
      </c>
      <c r="L263" s="841">
        <v>14985320</v>
      </c>
      <c r="M263" s="847">
        <v>39283278</v>
      </c>
      <c r="N263" s="839">
        <f>Indicadores[[#This Row],[Ventas]]/Indicadores[[#This Row],[Activos totales]]</f>
        <v>2.6214507264442801</v>
      </c>
      <c r="O263" s="837">
        <f>IF(Indicadores[[#This Row],[Ventas]]=0,0,Indicadores[[#This Row],[EBITDA]]/Indicadores[[#This Row],[Ventas]])</f>
        <v>7.7043748742149268E-2</v>
      </c>
      <c r="P263" s="837">
        <f>IF(Indicadores[[#This Row],[Ventas]]=0,0,Indicadores[[#This Row],[UAI]]/Indicadores[[#This Row],[Ventas]])</f>
        <v>7.6717757616866902E-2</v>
      </c>
      <c r="Q263" s="837">
        <f>IFERROR(Indicadores[[#This Row],[Ventas]]/Indicadores[[#This Row],[Activos totales]],0)</f>
        <v>2.6214507264442801</v>
      </c>
    </row>
    <row r="264" spans="1:17" hidden="1" x14ac:dyDescent="0.35">
      <c r="A264" s="13" t="str">
        <f>MID(Indicadores[[#This Row],[CIIU]],2,4)</f>
        <v>4791</v>
      </c>
      <c r="B264" s="13" t="str">
        <f>Indicadores[[#This Row],[CIIU]]&amp;Indicadores[[#This Row],[Año]]</f>
        <v>G47912016</v>
      </c>
      <c r="C264" s="14" t="s">
        <v>2803</v>
      </c>
      <c r="D264" s="14" t="s">
        <v>2887</v>
      </c>
      <c r="E264" s="848">
        <v>2016</v>
      </c>
      <c r="F264" s="856" t="s">
        <v>2968</v>
      </c>
      <c r="G264" s="858" t="s">
        <v>2969</v>
      </c>
      <c r="H264" s="848" t="s">
        <v>2970</v>
      </c>
      <c r="I264" s="693" t="s">
        <v>2971</v>
      </c>
      <c r="J264" s="847">
        <v>-50782839</v>
      </c>
      <c r="K264" s="847">
        <v>-47655741</v>
      </c>
      <c r="L264" s="841">
        <v>79071925</v>
      </c>
      <c r="M264" s="847">
        <v>95368352</v>
      </c>
      <c r="N264" s="839">
        <f>Indicadores[[#This Row],[Ventas]]/Indicadores[[#This Row],[Activos totales]]</f>
        <v>1.2060962471825494</v>
      </c>
      <c r="O264" s="837">
        <f>IF(Indicadores[[#This Row],[Ventas]]=0,0,Indicadores[[#This Row],[EBITDA]]/Indicadores[[#This Row],[Ventas]])</f>
        <v>-0.49970184029184023</v>
      </c>
      <c r="P264" s="837">
        <f>IF(Indicadores[[#This Row],[Ventas]]=0,0,Indicadores[[#This Row],[UAI]]/Indicadores[[#This Row],[Ventas]])</f>
        <v>-0.5324915229739946</v>
      </c>
      <c r="Q264" s="837">
        <f>IFERROR(Indicadores[[#This Row],[Ventas]]/Indicadores[[#This Row],[Activos totales]],0)</f>
        <v>1.2060962471825494</v>
      </c>
    </row>
    <row r="265" spans="1:17" hidden="1" x14ac:dyDescent="0.35">
      <c r="A265" s="13" t="str">
        <f>MID(Indicadores[[#This Row],[CIIU]],2,4)</f>
        <v>4792</v>
      </c>
      <c r="B265" s="13" t="str">
        <f>Indicadores[[#This Row],[CIIU]]&amp;Indicadores[[#This Row],[Año]]</f>
        <v>G47922016</v>
      </c>
      <c r="C265" s="14" t="s">
        <v>2803</v>
      </c>
      <c r="D265" s="14" t="s">
        <v>2887</v>
      </c>
      <c r="E265" s="848">
        <v>2016</v>
      </c>
      <c r="F265" s="856" t="s">
        <v>2972</v>
      </c>
      <c r="G265" s="857" t="e">
        <v>#N/A</v>
      </c>
      <c r="H265" s="848" t="s">
        <v>2973</v>
      </c>
      <c r="I265" s="693" t="s">
        <v>2974</v>
      </c>
      <c r="J265" s="847">
        <v>688081</v>
      </c>
      <c r="K265" s="847">
        <v>1066037</v>
      </c>
      <c r="L265" s="841">
        <v>3827876</v>
      </c>
      <c r="M265" s="847">
        <v>2454393</v>
      </c>
      <c r="N265" s="839">
        <f>Indicadores[[#This Row],[Ventas]]/Indicadores[[#This Row],[Activos totales]]</f>
        <v>0.64118926527400577</v>
      </c>
      <c r="O265" s="837">
        <f>IF(Indicadores[[#This Row],[Ventas]]=0,0,Indicadores[[#This Row],[EBITDA]]/Indicadores[[#This Row],[Ventas]])</f>
        <v>0.43433834760773843</v>
      </c>
      <c r="P265" s="837">
        <f>IF(Indicadores[[#This Row],[Ventas]]=0,0,Indicadores[[#This Row],[UAI]]/Indicadores[[#This Row],[Ventas]])</f>
        <v>0.28034670894188501</v>
      </c>
      <c r="Q265" s="837">
        <f>IFERROR(Indicadores[[#This Row],[Ventas]]/Indicadores[[#This Row],[Activos totales]],0)</f>
        <v>0.64118926527400577</v>
      </c>
    </row>
    <row r="266" spans="1:17" hidden="1" x14ac:dyDescent="0.35">
      <c r="A266" s="13" t="str">
        <f>MID(Indicadores[[#This Row],[CIIU]],2,4)</f>
        <v>4799</v>
      </c>
      <c r="B266" s="13" t="str">
        <f>Indicadores[[#This Row],[CIIU]]&amp;Indicadores[[#This Row],[Año]]</f>
        <v>G47992016</v>
      </c>
      <c r="C266" s="14" t="s">
        <v>2803</v>
      </c>
      <c r="D266" s="14" t="s">
        <v>2887</v>
      </c>
      <c r="E266" s="848">
        <v>2016</v>
      </c>
      <c r="F266" s="856" t="s">
        <v>2975</v>
      </c>
      <c r="G266" s="858" t="s">
        <v>2976</v>
      </c>
      <c r="H266" s="848" t="s">
        <v>2977</v>
      </c>
      <c r="I266" s="693" t="s">
        <v>2978</v>
      </c>
      <c r="J266" s="847">
        <v>30013241</v>
      </c>
      <c r="K266" s="847">
        <v>83763007</v>
      </c>
      <c r="L266" s="841">
        <v>1631977052</v>
      </c>
      <c r="M266" s="847">
        <v>1297871012</v>
      </c>
      <c r="N266" s="839">
        <f>Indicadores[[#This Row],[Ventas]]/Indicadores[[#This Row],[Activos totales]]</f>
        <v>0.79527528307426221</v>
      </c>
      <c r="O266" s="837">
        <f>IF(Indicadores[[#This Row],[Ventas]]=0,0,Indicadores[[#This Row],[EBITDA]]/Indicadores[[#This Row],[Ventas]])</f>
        <v>6.4538776369558057E-2</v>
      </c>
      <c r="P266" s="837">
        <f>IF(Indicadores[[#This Row],[Ventas]]=0,0,Indicadores[[#This Row],[UAI]]/Indicadores[[#This Row],[Ventas]])</f>
        <v>2.312497984969249E-2</v>
      </c>
      <c r="Q266" s="837">
        <f>IFERROR(Indicadores[[#This Row],[Ventas]]/Indicadores[[#This Row],[Activos totales]],0)</f>
        <v>0.79527528307426221</v>
      </c>
    </row>
    <row r="267" spans="1:17" hidden="1" x14ac:dyDescent="0.35">
      <c r="A267" s="13" t="str">
        <f>MID(Indicadores[[#This Row],[CIIU]],2,4)</f>
        <v>4911</v>
      </c>
      <c r="B267" s="13" t="str">
        <f>Indicadores[[#This Row],[CIIU]]&amp;Indicadores[[#This Row],[Año]]</f>
        <v>H49112016</v>
      </c>
      <c r="C267" s="14" t="s">
        <v>2979</v>
      </c>
      <c r="D267" s="14" t="s">
        <v>2980</v>
      </c>
      <c r="E267" s="848">
        <v>2016</v>
      </c>
      <c r="F267" s="856" t="s">
        <v>2981</v>
      </c>
      <c r="G267" s="858" t="s">
        <v>2982</v>
      </c>
      <c r="H267" s="848" t="s">
        <v>2983</v>
      </c>
      <c r="I267" s="693" t="s">
        <v>2982</v>
      </c>
      <c r="J267" s="847">
        <v>122123</v>
      </c>
      <c r="K267" s="847">
        <v>786597</v>
      </c>
      <c r="L267" s="841">
        <v>20664883</v>
      </c>
      <c r="M267" s="847">
        <v>3233659</v>
      </c>
      <c r="N267" s="839">
        <f>Indicadores[[#This Row],[Ventas]]/Indicadores[[#This Row],[Activos totales]]</f>
        <v>0.15648087627691867</v>
      </c>
      <c r="O267" s="837">
        <f>IF(Indicadores[[#This Row],[Ventas]]=0,0,Indicadores[[#This Row],[EBITDA]]/Indicadores[[#This Row],[Ventas]])</f>
        <v>0.24325292184488223</v>
      </c>
      <c r="P267" s="837">
        <f>IF(Indicadores[[#This Row],[Ventas]]=0,0,Indicadores[[#This Row],[UAI]]/Indicadores[[#This Row],[Ventas]])</f>
        <v>3.7766196126431388E-2</v>
      </c>
      <c r="Q267" s="837">
        <f>IFERROR(Indicadores[[#This Row],[Ventas]]/Indicadores[[#This Row],[Activos totales]],0)</f>
        <v>0.15648087627691867</v>
      </c>
    </row>
    <row r="268" spans="1:17" hidden="1" x14ac:dyDescent="0.35">
      <c r="A268" s="13" t="str">
        <f>MID(Indicadores[[#This Row],[CIIU]],2,4)</f>
        <v>4912</v>
      </c>
      <c r="B268" s="13" t="str">
        <f>Indicadores[[#This Row],[CIIU]]&amp;Indicadores[[#This Row],[Año]]</f>
        <v>H49122016</v>
      </c>
      <c r="C268" s="14" t="s">
        <v>2979</v>
      </c>
      <c r="D268" s="14" t="s">
        <v>2980</v>
      </c>
      <c r="E268" s="848">
        <v>2016</v>
      </c>
      <c r="F268" s="856" t="s">
        <v>2984</v>
      </c>
      <c r="G268" s="858" t="s">
        <v>2985</v>
      </c>
      <c r="H268" s="848" t="s">
        <v>2986</v>
      </c>
      <c r="I268" s="693" t="s">
        <v>2987</v>
      </c>
      <c r="J268" s="847">
        <v>-773597</v>
      </c>
      <c r="K268" s="847">
        <v>-614596</v>
      </c>
      <c r="L268" s="841">
        <v>32450952</v>
      </c>
      <c r="M268" s="847">
        <v>0</v>
      </c>
      <c r="N268" s="839">
        <f>Indicadores[[#This Row],[Ventas]]/Indicadores[[#This Row],[Activos totales]]</f>
        <v>0</v>
      </c>
      <c r="O268" s="837">
        <f>IF(Indicadores[[#This Row],[Ventas]]=0,0,Indicadores[[#This Row],[EBITDA]]/Indicadores[[#This Row],[Ventas]])</f>
        <v>0</v>
      </c>
      <c r="P268" s="837">
        <f>IF(Indicadores[[#This Row],[Ventas]]=0,0,Indicadores[[#This Row],[UAI]]/Indicadores[[#This Row],[Ventas]])</f>
        <v>0</v>
      </c>
      <c r="Q268" s="837">
        <f>IFERROR(Indicadores[[#This Row],[Ventas]]/Indicadores[[#This Row],[Activos totales]],0)</f>
        <v>0</v>
      </c>
    </row>
    <row r="269" spans="1:17" hidden="1" x14ac:dyDescent="0.35">
      <c r="A269" s="13" t="str">
        <f>MID(Indicadores[[#This Row],[CIIU]],2,4)</f>
        <v>4921</v>
      </c>
      <c r="B269" s="13" t="str">
        <f>Indicadores[[#This Row],[CIIU]]&amp;Indicadores[[#This Row],[Año]]</f>
        <v>H49212016</v>
      </c>
      <c r="C269" s="14" t="s">
        <v>2979</v>
      </c>
      <c r="D269" s="14" t="s">
        <v>2980</v>
      </c>
      <c r="E269" s="848">
        <v>2016</v>
      </c>
      <c r="F269" s="856" t="s">
        <v>2988</v>
      </c>
      <c r="G269" s="858" t="s">
        <v>2989</v>
      </c>
      <c r="H269" s="848" t="s">
        <v>2990</v>
      </c>
      <c r="I269" s="693" t="s">
        <v>2989</v>
      </c>
      <c r="J269" s="847">
        <v>-51443864</v>
      </c>
      <c r="K269" s="847">
        <v>-21130978</v>
      </c>
      <c r="L269" s="841">
        <v>865005831</v>
      </c>
      <c r="M269" s="847">
        <v>213248851</v>
      </c>
      <c r="N269" s="839">
        <f>Indicadores[[#This Row],[Ventas]]/Indicadores[[#This Row],[Activos totales]]</f>
        <v>0.24652880172318745</v>
      </c>
      <c r="O269" s="837">
        <f>IF(Indicadores[[#This Row],[Ventas]]=0,0,Indicadores[[#This Row],[EBITDA]]/Indicadores[[#This Row],[Ventas]])</f>
        <v>-9.9090700376153487E-2</v>
      </c>
      <c r="P269" s="837">
        <f>IF(Indicadores[[#This Row],[Ventas]]=0,0,Indicadores[[#This Row],[UAI]]/Indicadores[[#This Row],[Ventas]])</f>
        <v>-0.241238645642222</v>
      </c>
      <c r="Q269" s="837">
        <f>IFERROR(Indicadores[[#This Row],[Ventas]]/Indicadores[[#This Row],[Activos totales]],0)</f>
        <v>0.24652880172318745</v>
      </c>
    </row>
    <row r="270" spans="1:17" hidden="1" x14ac:dyDescent="0.35">
      <c r="A270" s="13" t="str">
        <f>MID(Indicadores[[#This Row],[CIIU]],2,4)</f>
        <v>4923</v>
      </c>
      <c r="B270" s="13" t="str">
        <f>Indicadores[[#This Row],[CIIU]]&amp;Indicadores[[#This Row],[Año]]</f>
        <v>H49232016</v>
      </c>
      <c r="C270" s="14" t="s">
        <v>2979</v>
      </c>
      <c r="D270" s="14" t="s">
        <v>2980</v>
      </c>
      <c r="E270" s="848">
        <v>2016</v>
      </c>
      <c r="F270" s="856" t="s">
        <v>2991</v>
      </c>
      <c r="G270" s="858" t="s">
        <v>2992</v>
      </c>
      <c r="H270" s="848" t="s">
        <v>2993</v>
      </c>
      <c r="I270" s="693" t="s">
        <v>2992</v>
      </c>
      <c r="J270" s="847">
        <v>77102042</v>
      </c>
      <c r="K270" s="847">
        <v>127822354</v>
      </c>
      <c r="L270" s="841">
        <v>1763019312</v>
      </c>
      <c r="M270" s="847">
        <v>787276671</v>
      </c>
      <c r="N270" s="839">
        <f>Indicadores[[#This Row],[Ventas]]/Indicadores[[#This Row],[Activos totales]]</f>
        <v>0.44655022531029426</v>
      </c>
      <c r="O270" s="837">
        <f>IF(Indicadores[[#This Row],[Ventas]]=0,0,Indicadores[[#This Row],[EBITDA]]/Indicadores[[#This Row],[Ventas]])</f>
        <v>0.16236014441738741</v>
      </c>
      <c r="P270" s="837">
        <f>IF(Indicadores[[#This Row],[Ventas]]=0,0,Indicadores[[#This Row],[UAI]]/Indicadores[[#This Row],[Ventas]])</f>
        <v>9.7935128576926933E-2</v>
      </c>
      <c r="Q270" s="837">
        <f>IFERROR(Indicadores[[#This Row],[Ventas]]/Indicadores[[#This Row],[Activos totales]],0)</f>
        <v>0.44655022531029426</v>
      </c>
    </row>
    <row r="271" spans="1:17" hidden="1" x14ac:dyDescent="0.35">
      <c r="A271" s="13" t="str">
        <f>MID(Indicadores[[#This Row],[CIIU]],2,4)</f>
        <v>4930</v>
      </c>
      <c r="B271" s="13" t="str">
        <f>Indicadores[[#This Row],[CIIU]]&amp;Indicadores[[#This Row],[Año]]</f>
        <v>H49302016</v>
      </c>
      <c r="C271" s="14" t="s">
        <v>2979</v>
      </c>
      <c r="D271" s="14" t="s">
        <v>2980</v>
      </c>
      <c r="E271" s="848">
        <v>2016</v>
      </c>
      <c r="F271" s="856" t="s">
        <v>2994</v>
      </c>
      <c r="G271" s="857" t="s">
        <v>2995</v>
      </c>
      <c r="H271" s="848" t="s">
        <v>2996</v>
      </c>
      <c r="I271" s="693" t="s">
        <v>2995</v>
      </c>
      <c r="J271" s="847">
        <v>3884682214</v>
      </c>
      <c r="K271" s="847">
        <v>2566228234</v>
      </c>
      <c r="L271" s="841">
        <v>25152461355</v>
      </c>
      <c r="M271" s="847">
        <v>4670843030</v>
      </c>
      <c r="N271" s="839">
        <f>Indicadores[[#This Row],[Ventas]]/Indicadores[[#This Row],[Activos totales]]</f>
        <v>0.18570123074939121</v>
      </c>
      <c r="O271" s="837">
        <f>IF(Indicadores[[#This Row],[Ventas]]=0,0,Indicadores[[#This Row],[EBITDA]]/Indicadores[[#This Row],[Ventas]])</f>
        <v>0.54941436000258825</v>
      </c>
      <c r="P271" s="837">
        <f>IF(Indicadores[[#This Row],[Ventas]]=0,0,Indicadores[[#This Row],[UAI]]/Indicadores[[#This Row],[Ventas]])</f>
        <v>0.83168759666068248</v>
      </c>
      <c r="Q271" s="837">
        <f>IFERROR(Indicadores[[#This Row],[Ventas]]/Indicadores[[#This Row],[Activos totales]],0)</f>
        <v>0.18570123074939121</v>
      </c>
    </row>
    <row r="272" spans="1:17" hidden="1" x14ac:dyDescent="0.35">
      <c r="A272" s="13" t="str">
        <f>MID(Indicadores[[#This Row],[CIIU]],2,4)</f>
        <v>5011</v>
      </c>
      <c r="B272" s="13" t="str">
        <f>Indicadores[[#This Row],[CIIU]]&amp;Indicadores[[#This Row],[Año]]</f>
        <v>H50112016</v>
      </c>
      <c r="C272" s="14" t="s">
        <v>2979</v>
      </c>
      <c r="D272" s="14" t="s">
        <v>2997</v>
      </c>
      <c r="E272" s="848">
        <v>2016</v>
      </c>
      <c r="F272" s="856" t="s">
        <v>2998</v>
      </c>
      <c r="G272" s="858" t="s">
        <v>2999</v>
      </c>
      <c r="H272" s="848" t="s">
        <v>3000</v>
      </c>
      <c r="I272" s="693" t="s">
        <v>3001</v>
      </c>
      <c r="J272" s="847">
        <v>487710</v>
      </c>
      <c r="K272" s="847">
        <v>1026528</v>
      </c>
      <c r="L272" s="841">
        <v>5176419</v>
      </c>
      <c r="M272" s="847">
        <v>2928796</v>
      </c>
      <c r="N272" s="839">
        <f>Indicadores[[#This Row],[Ventas]]/Indicadores[[#This Row],[Activos totales]]</f>
        <v>0.56579577503289435</v>
      </c>
      <c r="O272" s="837">
        <f>IF(Indicadores[[#This Row],[Ventas]]=0,0,Indicadores[[#This Row],[EBITDA]]/Indicadores[[#This Row],[Ventas]])</f>
        <v>0.35049487912439103</v>
      </c>
      <c r="P272" s="837">
        <f>IF(Indicadores[[#This Row],[Ventas]]=0,0,Indicadores[[#This Row],[UAI]]/Indicadores[[#This Row],[Ventas]])</f>
        <v>0.16652235252984504</v>
      </c>
      <c r="Q272" s="837">
        <f>IFERROR(Indicadores[[#This Row],[Ventas]]/Indicadores[[#This Row],[Activos totales]],0)</f>
        <v>0.56579577503289435</v>
      </c>
    </row>
    <row r="273" spans="1:17" hidden="1" x14ac:dyDescent="0.35">
      <c r="A273" s="13" t="str">
        <f>MID(Indicadores[[#This Row],[CIIU]],2,4)</f>
        <v>5012</v>
      </c>
      <c r="B273" s="13" t="str">
        <f>Indicadores[[#This Row],[CIIU]]&amp;Indicadores[[#This Row],[Año]]</f>
        <v>H50122016</v>
      </c>
      <c r="C273" s="14" t="s">
        <v>2979</v>
      </c>
      <c r="D273" s="14" t="s">
        <v>2997</v>
      </c>
      <c r="E273" s="848">
        <v>2016</v>
      </c>
      <c r="F273" s="856" t="s">
        <v>3002</v>
      </c>
      <c r="G273" s="858" t="s">
        <v>3003</v>
      </c>
      <c r="H273" s="848" t="s">
        <v>3004</v>
      </c>
      <c r="I273" s="693" t="s">
        <v>3005</v>
      </c>
      <c r="J273" s="847">
        <v>14686680</v>
      </c>
      <c r="K273" s="847">
        <v>19814586</v>
      </c>
      <c r="L273" s="841">
        <v>92608328</v>
      </c>
      <c r="M273" s="847">
        <v>66211300</v>
      </c>
      <c r="N273" s="839">
        <f>Indicadores[[#This Row],[Ventas]]/Indicadores[[#This Row],[Activos totales]]</f>
        <v>0.71496053789028569</v>
      </c>
      <c r="O273" s="837">
        <f>IF(Indicadores[[#This Row],[Ventas]]=0,0,Indicadores[[#This Row],[EBITDA]]/Indicadores[[#This Row],[Ventas]])</f>
        <v>0.2992629052744773</v>
      </c>
      <c r="P273" s="837">
        <f>IF(Indicadores[[#This Row],[Ventas]]=0,0,Indicadores[[#This Row],[UAI]]/Indicadores[[#This Row],[Ventas]])</f>
        <v>0.22181530947134401</v>
      </c>
      <c r="Q273" s="837">
        <f>IFERROR(Indicadores[[#This Row],[Ventas]]/Indicadores[[#This Row],[Activos totales]],0)</f>
        <v>0.71496053789028569</v>
      </c>
    </row>
    <row r="274" spans="1:17" hidden="1" x14ac:dyDescent="0.35">
      <c r="A274" s="13" t="str">
        <f>MID(Indicadores[[#This Row],[CIIU]],2,4)</f>
        <v>5022</v>
      </c>
      <c r="B274" s="13" t="str">
        <f>Indicadores[[#This Row],[CIIU]]&amp;Indicadores[[#This Row],[Año]]</f>
        <v>H50222016</v>
      </c>
      <c r="C274" s="14" t="s">
        <v>2979</v>
      </c>
      <c r="D274" s="14" t="s">
        <v>2997</v>
      </c>
      <c r="E274" s="848">
        <v>2016</v>
      </c>
      <c r="F274" s="856" t="s">
        <v>3006</v>
      </c>
      <c r="G274" s="857" t="s">
        <v>3007</v>
      </c>
      <c r="H274" s="848" t="s">
        <v>3008</v>
      </c>
      <c r="I274" s="693" t="s">
        <v>3007</v>
      </c>
      <c r="J274" s="847">
        <v>-680316</v>
      </c>
      <c r="K274" s="847">
        <v>-443934</v>
      </c>
      <c r="L274" s="841">
        <v>13018048</v>
      </c>
      <c r="M274" s="847">
        <v>20702</v>
      </c>
      <c r="N274" s="839">
        <f>Indicadores[[#This Row],[Ventas]]/Indicadores[[#This Row],[Activos totales]]</f>
        <v>1.5902537769103325E-3</v>
      </c>
      <c r="O274" s="837">
        <f>IF(Indicadores[[#This Row],[Ventas]]=0,0,Indicadores[[#This Row],[EBITDA]]/Indicadores[[#This Row],[Ventas]])</f>
        <v>-21.444015071007634</v>
      </c>
      <c r="P274" s="837">
        <f>IF(Indicadores[[#This Row],[Ventas]]=0,0,Indicadores[[#This Row],[UAI]]/Indicadores[[#This Row],[Ventas]])</f>
        <v>-32.862332141822044</v>
      </c>
      <c r="Q274" s="837">
        <f>IFERROR(Indicadores[[#This Row],[Ventas]]/Indicadores[[#This Row],[Activos totales]],0)</f>
        <v>1.5902537769103325E-3</v>
      </c>
    </row>
    <row r="275" spans="1:17" hidden="1" x14ac:dyDescent="0.35">
      <c r="A275" s="13" t="str">
        <f>MID(Indicadores[[#This Row],[CIIU]],2,4)</f>
        <v>5111</v>
      </c>
      <c r="B275" s="13" t="str">
        <f>Indicadores[[#This Row],[CIIU]]&amp;Indicadores[[#This Row],[Año]]</f>
        <v>H51112016</v>
      </c>
      <c r="C275" s="14" t="s">
        <v>2979</v>
      </c>
      <c r="D275" s="14" t="s">
        <v>3009</v>
      </c>
      <c r="E275" s="848">
        <v>2016</v>
      </c>
      <c r="F275" s="856" t="s">
        <v>3010</v>
      </c>
      <c r="G275" s="858" t="s">
        <v>3011</v>
      </c>
      <c r="H275" s="848" t="s">
        <v>3012</v>
      </c>
      <c r="I275" s="693" t="s">
        <v>3013</v>
      </c>
      <c r="J275" s="847">
        <v>715869</v>
      </c>
      <c r="K275" s="847">
        <v>1763427</v>
      </c>
      <c r="L275" s="841">
        <v>8815991</v>
      </c>
      <c r="M275" s="847">
        <v>7623611</v>
      </c>
      <c r="N275" s="839">
        <f>Indicadores[[#This Row],[Ventas]]/Indicadores[[#This Row],[Activos totales]]</f>
        <v>0.86474804704315145</v>
      </c>
      <c r="O275" s="837">
        <f>IF(Indicadores[[#This Row],[Ventas]]=0,0,Indicadores[[#This Row],[EBITDA]]/Indicadores[[#This Row],[Ventas]])</f>
        <v>0.23131125132171618</v>
      </c>
      <c r="P275" s="837">
        <f>IF(Indicadores[[#This Row],[Ventas]]=0,0,Indicadores[[#This Row],[UAI]]/Indicadores[[#This Row],[Ventas]])</f>
        <v>9.39015644948306E-2</v>
      </c>
      <c r="Q275" s="837">
        <f>IFERROR(Indicadores[[#This Row],[Ventas]]/Indicadores[[#This Row],[Activos totales]],0)</f>
        <v>0.86474804704315145</v>
      </c>
    </row>
    <row r="276" spans="1:17" hidden="1" x14ac:dyDescent="0.35">
      <c r="A276" s="13" t="str">
        <f>MID(Indicadores[[#This Row],[CIIU]],2,4)</f>
        <v>5121</v>
      </c>
      <c r="B276" s="13" t="str">
        <f>Indicadores[[#This Row],[CIIU]]&amp;Indicadores[[#This Row],[Año]]</f>
        <v>H51212016</v>
      </c>
      <c r="C276" s="14" t="s">
        <v>2979</v>
      </c>
      <c r="D276" s="14" t="s">
        <v>3009</v>
      </c>
      <c r="E276" s="848">
        <v>2016</v>
      </c>
      <c r="F276" s="856" t="s">
        <v>3014</v>
      </c>
      <c r="G276" s="858" t="s">
        <v>3015</v>
      </c>
      <c r="H276" s="848" t="s">
        <v>3016</v>
      </c>
      <c r="I276" s="693" t="s">
        <v>3017</v>
      </c>
      <c r="J276" s="847">
        <v>8103</v>
      </c>
      <c r="K276" s="847">
        <v>143182</v>
      </c>
      <c r="L276" s="841">
        <v>3574979</v>
      </c>
      <c r="M276" s="847">
        <v>12692395</v>
      </c>
      <c r="N276" s="839">
        <f>Indicadores[[#This Row],[Ventas]]/Indicadores[[#This Row],[Activos totales]]</f>
        <v>3.5503411348710019</v>
      </c>
      <c r="O276" s="837">
        <f>IF(Indicadores[[#This Row],[Ventas]]=0,0,Indicadores[[#This Row],[EBITDA]]/Indicadores[[#This Row],[Ventas]])</f>
        <v>1.1280928461492099E-2</v>
      </c>
      <c r="P276" s="837">
        <f>IF(Indicadores[[#This Row],[Ventas]]=0,0,Indicadores[[#This Row],[UAI]]/Indicadores[[#This Row],[Ventas]])</f>
        <v>6.3841379030513937E-4</v>
      </c>
      <c r="Q276" s="837">
        <f>IFERROR(Indicadores[[#This Row],[Ventas]]/Indicadores[[#This Row],[Activos totales]],0)</f>
        <v>3.5503411348710019</v>
      </c>
    </row>
    <row r="277" spans="1:17" hidden="1" x14ac:dyDescent="0.35">
      <c r="A277" s="13" t="str">
        <f>MID(Indicadores[[#This Row],[CIIU]],2,4)</f>
        <v>5122</v>
      </c>
      <c r="B277" s="13" t="str">
        <f>Indicadores[[#This Row],[CIIU]]&amp;Indicadores[[#This Row],[Año]]</f>
        <v>H51222016</v>
      </c>
      <c r="C277" s="14" t="s">
        <v>2979</v>
      </c>
      <c r="D277" s="14" t="s">
        <v>3009</v>
      </c>
      <c r="E277" s="848">
        <v>2016</v>
      </c>
      <c r="F277" s="856" t="s">
        <v>3018</v>
      </c>
      <c r="G277" s="858" t="s">
        <v>3019</v>
      </c>
      <c r="H277" s="848" t="s">
        <v>3020</v>
      </c>
      <c r="I277" s="693" t="s">
        <v>3021</v>
      </c>
      <c r="J277" s="847">
        <v>1136299</v>
      </c>
      <c r="K277" s="847">
        <v>1981250</v>
      </c>
      <c r="L277" s="841">
        <v>10320564</v>
      </c>
      <c r="M277" s="847">
        <v>16652017</v>
      </c>
      <c r="N277" s="839">
        <f>Indicadores[[#This Row],[Ventas]]/Indicadores[[#This Row],[Activos totales]]</f>
        <v>1.6134793602365143</v>
      </c>
      <c r="O277" s="837">
        <f>IF(Indicadores[[#This Row],[Ventas]]=0,0,Indicadores[[#This Row],[EBITDA]]/Indicadores[[#This Row],[Ventas]])</f>
        <v>0.11897958067181892</v>
      </c>
      <c r="P277" s="837">
        <f>IF(Indicadores[[#This Row],[Ventas]]=0,0,Indicadores[[#This Row],[UAI]]/Indicadores[[#This Row],[Ventas]])</f>
        <v>6.8237919766716545E-2</v>
      </c>
      <c r="Q277" s="837">
        <f>IFERROR(Indicadores[[#This Row],[Ventas]]/Indicadores[[#This Row],[Activos totales]],0)</f>
        <v>1.6134793602365143</v>
      </c>
    </row>
    <row r="278" spans="1:17" hidden="1" x14ac:dyDescent="0.35">
      <c r="A278" s="13" t="str">
        <f>MID(Indicadores[[#This Row],[CIIU]],2,4)</f>
        <v>5210</v>
      </c>
      <c r="B278" s="13" t="str">
        <f>Indicadores[[#This Row],[CIIU]]&amp;Indicadores[[#This Row],[Año]]</f>
        <v>H52102016</v>
      </c>
      <c r="C278" s="14" t="s">
        <v>2979</v>
      </c>
      <c r="D278" s="14" t="s">
        <v>3022</v>
      </c>
      <c r="E278" s="848">
        <v>2016</v>
      </c>
      <c r="F278" s="856" t="s">
        <v>3023</v>
      </c>
      <c r="G278" s="858" t="s">
        <v>3024</v>
      </c>
      <c r="H278" s="848" t="s">
        <v>3025</v>
      </c>
      <c r="I278" s="693" t="s">
        <v>3024</v>
      </c>
      <c r="J278" s="847">
        <v>28298947</v>
      </c>
      <c r="K278" s="847">
        <v>84609990</v>
      </c>
      <c r="L278" s="841">
        <v>873844814</v>
      </c>
      <c r="M278" s="847">
        <v>724095058</v>
      </c>
      <c r="N278" s="839">
        <f>Indicadores[[#This Row],[Ventas]]/Indicadores[[#This Row],[Activos totales]]</f>
        <v>0.82863117844171352</v>
      </c>
      <c r="O278" s="837">
        <f>IF(Indicadores[[#This Row],[Ventas]]=0,0,Indicadores[[#This Row],[EBITDA]]/Indicadores[[#This Row],[Ventas]])</f>
        <v>0.11684928527712725</v>
      </c>
      <c r="P278" s="837">
        <f>IF(Indicadores[[#This Row],[Ventas]]=0,0,Indicadores[[#This Row],[UAI]]/Indicadores[[#This Row],[Ventas]])</f>
        <v>3.9081812100974181E-2</v>
      </c>
      <c r="Q278" s="837">
        <f>IFERROR(Indicadores[[#This Row],[Ventas]]/Indicadores[[#This Row],[Activos totales]],0)</f>
        <v>0.82863117844171352</v>
      </c>
    </row>
    <row r="279" spans="1:17" hidden="1" x14ac:dyDescent="0.35">
      <c r="A279" s="13" t="str">
        <f>MID(Indicadores[[#This Row],[CIIU]],2,4)</f>
        <v>5221</v>
      </c>
      <c r="B279" s="13" t="str">
        <f>Indicadores[[#This Row],[CIIU]]&amp;Indicadores[[#This Row],[Año]]</f>
        <v>H52212016</v>
      </c>
      <c r="C279" s="14" t="s">
        <v>2979</v>
      </c>
      <c r="D279" s="14" t="s">
        <v>3022</v>
      </c>
      <c r="E279" s="848">
        <v>2016</v>
      </c>
      <c r="F279" s="856" t="s">
        <v>3026</v>
      </c>
      <c r="G279" s="858" t="s">
        <v>3027</v>
      </c>
      <c r="H279" s="848" t="s">
        <v>3028</v>
      </c>
      <c r="I279" s="693" t="s">
        <v>3027</v>
      </c>
      <c r="J279" s="847">
        <v>20108152</v>
      </c>
      <c r="K279" s="847">
        <v>47273766</v>
      </c>
      <c r="L279" s="841">
        <v>446700574</v>
      </c>
      <c r="M279" s="847">
        <v>221639553</v>
      </c>
      <c r="N279" s="839">
        <f>Indicadores[[#This Row],[Ventas]]/Indicadores[[#This Row],[Activos totales]]</f>
        <v>0.49617028922823814</v>
      </c>
      <c r="O279" s="837">
        <f>IF(Indicadores[[#This Row],[Ventas]]=0,0,Indicadores[[#This Row],[EBITDA]]/Indicadores[[#This Row],[Ventas]])</f>
        <v>0.21329119897656534</v>
      </c>
      <c r="P279" s="837">
        <f>IF(Indicadores[[#This Row],[Ventas]]=0,0,Indicadores[[#This Row],[UAI]]/Indicadores[[#This Row],[Ventas]])</f>
        <v>9.0724564852375428E-2</v>
      </c>
      <c r="Q279" s="837">
        <f>IFERROR(Indicadores[[#This Row],[Ventas]]/Indicadores[[#This Row],[Activos totales]],0)</f>
        <v>0.49617028922823814</v>
      </c>
    </row>
    <row r="280" spans="1:17" hidden="1" x14ac:dyDescent="0.35">
      <c r="A280" s="13" t="str">
        <f>MID(Indicadores[[#This Row],[CIIU]],2,4)</f>
        <v>5222</v>
      </c>
      <c r="B280" s="13" t="str">
        <f>Indicadores[[#This Row],[CIIU]]&amp;Indicadores[[#This Row],[Año]]</f>
        <v>H52222016</v>
      </c>
      <c r="C280" s="14" t="s">
        <v>2979</v>
      </c>
      <c r="D280" s="14" t="s">
        <v>3022</v>
      </c>
      <c r="E280" s="848">
        <v>2016</v>
      </c>
      <c r="F280" s="856" t="s">
        <v>3029</v>
      </c>
      <c r="G280" s="858" t="s">
        <v>3030</v>
      </c>
      <c r="H280" s="848" t="s">
        <v>3031</v>
      </c>
      <c r="I280" s="693" t="s">
        <v>3030</v>
      </c>
      <c r="J280" s="847">
        <v>-3992384</v>
      </c>
      <c r="K280" s="847">
        <v>-2221891</v>
      </c>
      <c r="L280" s="841">
        <v>138019503</v>
      </c>
      <c r="M280" s="847">
        <v>37654280</v>
      </c>
      <c r="N280" s="839">
        <f>Indicadores[[#This Row],[Ventas]]/Indicadores[[#This Row],[Activos totales]]</f>
        <v>0.27281854507185116</v>
      </c>
      <c r="O280" s="837">
        <f>IF(Indicadores[[#This Row],[Ventas]]=0,0,Indicadores[[#This Row],[EBITDA]]/Indicadores[[#This Row],[Ventas]])</f>
        <v>-5.9007661280470643E-2</v>
      </c>
      <c r="P280" s="837">
        <f>IF(Indicadores[[#This Row],[Ventas]]=0,0,Indicadores[[#This Row],[UAI]]/Indicadores[[#This Row],[Ventas]])</f>
        <v>-0.10602736262650621</v>
      </c>
      <c r="Q280" s="837">
        <f>IFERROR(Indicadores[[#This Row],[Ventas]]/Indicadores[[#This Row],[Activos totales]],0)</f>
        <v>0.27281854507185116</v>
      </c>
    </row>
    <row r="281" spans="1:17" hidden="1" x14ac:dyDescent="0.35">
      <c r="A281" s="13" t="str">
        <f>MID(Indicadores[[#This Row],[CIIU]],2,4)</f>
        <v>5223</v>
      </c>
      <c r="B281" s="13" t="str">
        <f>Indicadores[[#This Row],[CIIU]]&amp;Indicadores[[#This Row],[Año]]</f>
        <v>H52232016</v>
      </c>
      <c r="C281" s="14" t="s">
        <v>2979</v>
      </c>
      <c r="D281" s="14" t="s">
        <v>3022</v>
      </c>
      <c r="E281" s="848">
        <v>2016</v>
      </c>
      <c r="F281" s="856" t="s">
        <v>3032</v>
      </c>
      <c r="G281" s="858" t="s">
        <v>3033</v>
      </c>
      <c r="H281" s="848" t="s">
        <v>3034</v>
      </c>
      <c r="I281" s="693" t="s">
        <v>3033</v>
      </c>
      <c r="J281" s="847">
        <v>11641770</v>
      </c>
      <c r="K281" s="847">
        <v>25659714</v>
      </c>
      <c r="L281" s="841">
        <v>181758505</v>
      </c>
      <c r="M281" s="847">
        <v>193292926</v>
      </c>
      <c r="N281" s="839">
        <f>Indicadores[[#This Row],[Ventas]]/Indicadores[[#This Row],[Activos totales]]</f>
        <v>1.0634601445472938</v>
      </c>
      <c r="O281" s="837">
        <f>IF(Indicadores[[#This Row],[Ventas]]=0,0,Indicadores[[#This Row],[EBITDA]]/Indicadores[[#This Row],[Ventas]])</f>
        <v>0.13275040391286747</v>
      </c>
      <c r="P281" s="837">
        <f>IF(Indicadores[[#This Row],[Ventas]]=0,0,Indicadores[[#This Row],[UAI]]/Indicadores[[#This Row],[Ventas]])</f>
        <v>6.022863971752386E-2</v>
      </c>
      <c r="Q281" s="837">
        <f>IFERROR(Indicadores[[#This Row],[Ventas]]/Indicadores[[#This Row],[Activos totales]],0)</f>
        <v>1.0634601445472938</v>
      </c>
    </row>
    <row r="282" spans="1:17" hidden="1" x14ac:dyDescent="0.35">
      <c r="A282" s="13" t="str">
        <f>MID(Indicadores[[#This Row],[CIIU]],2,4)</f>
        <v>5224</v>
      </c>
      <c r="B282" s="13" t="str">
        <f>Indicadores[[#This Row],[CIIU]]&amp;Indicadores[[#This Row],[Año]]</f>
        <v>H52242016</v>
      </c>
      <c r="C282" s="14" t="s">
        <v>2979</v>
      </c>
      <c r="D282" s="14" t="s">
        <v>3022</v>
      </c>
      <c r="E282" s="848">
        <v>2016</v>
      </c>
      <c r="F282" s="856" t="s">
        <v>3035</v>
      </c>
      <c r="G282" s="858" t="s">
        <v>3036</v>
      </c>
      <c r="H282" s="848" t="s">
        <v>3037</v>
      </c>
      <c r="I282" s="693" t="s">
        <v>3036</v>
      </c>
      <c r="J282" s="847">
        <v>25170960</v>
      </c>
      <c r="K282" s="847">
        <v>565282034</v>
      </c>
      <c r="L282" s="841">
        <v>674832456</v>
      </c>
      <c r="M282" s="847">
        <v>227285040</v>
      </c>
      <c r="N282" s="839">
        <f>Indicadores[[#This Row],[Ventas]]/Indicadores[[#This Row],[Activos totales]]</f>
        <v>0.33680217656869782</v>
      </c>
      <c r="O282" s="837">
        <f>IF(Indicadores[[#This Row],[Ventas]]=0,0,Indicadores[[#This Row],[EBITDA]]/Indicadores[[#This Row],[Ventas]])</f>
        <v>2.487106208134068</v>
      </c>
      <c r="P282" s="837">
        <f>IF(Indicadores[[#This Row],[Ventas]]=0,0,Indicadores[[#This Row],[UAI]]/Indicadores[[#This Row],[Ventas]])</f>
        <v>0.11074622421255706</v>
      </c>
      <c r="Q282" s="837">
        <f>IFERROR(Indicadores[[#This Row],[Ventas]]/Indicadores[[#This Row],[Activos totales]],0)</f>
        <v>0.33680217656869782</v>
      </c>
    </row>
    <row r="283" spans="1:17" hidden="1" x14ac:dyDescent="0.35">
      <c r="A283" s="13" t="str">
        <f>MID(Indicadores[[#This Row],[CIIU]],2,4)</f>
        <v>5229</v>
      </c>
      <c r="B283" s="13" t="str">
        <f>Indicadores[[#This Row],[CIIU]]&amp;Indicadores[[#This Row],[Año]]</f>
        <v>H52292016</v>
      </c>
      <c r="C283" s="14" t="s">
        <v>2979</v>
      </c>
      <c r="D283" s="14" t="s">
        <v>3022</v>
      </c>
      <c r="E283" s="848">
        <v>2016</v>
      </c>
      <c r="F283" s="856" t="s">
        <v>3038</v>
      </c>
      <c r="G283" s="858" t="s">
        <v>3039</v>
      </c>
      <c r="H283" s="848" t="s">
        <v>3040</v>
      </c>
      <c r="I283" s="693" t="s">
        <v>3039</v>
      </c>
      <c r="J283" s="847">
        <v>136981258</v>
      </c>
      <c r="K283" s="847">
        <v>186482628</v>
      </c>
      <c r="L283" s="841">
        <v>1463229636</v>
      </c>
      <c r="M283" s="847">
        <v>2021254190</v>
      </c>
      <c r="N283" s="839">
        <f>Indicadores[[#This Row],[Ventas]]/Indicadores[[#This Row],[Activos totales]]</f>
        <v>1.3813649889742938</v>
      </c>
      <c r="O283" s="837">
        <f>IF(Indicadores[[#This Row],[Ventas]]=0,0,Indicadores[[#This Row],[EBITDA]]/Indicadores[[#This Row],[Ventas]])</f>
        <v>9.2260849190867966E-2</v>
      </c>
      <c r="P283" s="837">
        <f>IF(Indicadores[[#This Row],[Ventas]]=0,0,Indicadores[[#This Row],[UAI]]/Indicadores[[#This Row],[Ventas]])</f>
        <v>6.7770426242134349E-2</v>
      </c>
      <c r="Q283" s="837">
        <f>IFERROR(Indicadores[[#This Row],[Ventas]]/Indicadores[[#This Row],[Activos totales]],0)</f>
        <v>1.3813649889742938</v>
      </c>
    </row>
    <row r="284" spans="1:17" hidden="1" x14ac:dyDescent="0.35">
      <c r="A284" s="13" t="str">
        <f>MID(Indicadores[[#This Row],[CIIU]],2,4)</f>
        <v>5310</v>
      </c>
      <c r="B284" s="13" t="str">
        <f>Indicadores[[#This Row],[CIIU]]&amp;Indicadores[[#This Row],[Año]]</f>
        <v>H53102016</v>
      </c>
      <c r="C284" s="14" t="s">
        <v>2979</v>
      </c>
      <c r="D284" s="14" t="s">
        <v>3041</v>
      </c>
      <c r="E284" s="848">
        <v>2016</v>
      </c>
      <c r="F284" s="856" t="s">
        <v>3042</v>
      </c>
      <c r="G284" s="858" t="s">
        <v>3043</v>
      </c>
      <c r="H284" s="848" t="s">
        <v>3044</v>
      </c>
      <c r="I284" s="693" t="s">
        <v>3043</v>
      </c>
      <c r="J284" s="847">
        <v>5482039</v>
      </c>
      <c r="K284" s="847">
        <v>7938609</v>
      </c>
      <c r="L284" s="841">
        <v>94564571</v>
      </c>
      <c r="M284" s="847">
        <v>66453257</v>
      </c>
      <c r="N284" s="839">
        <f>Indicadores[[#This Row],[Ventas]]/Indicadores[[#This Row],[Activos totales]]</f>
        <v>0.70272890044623582</v>
      </c>
      <c r="O284" s="837">
        <f>IF(Indicadores[[#This Row],[Ventas]]=0,0,Indicadores[[#This Row],[EBITDA]]/Indicadores[[#This Row],[Ventas]])</f>
        <v>0.11946154873943951</v>
      </c>
      <c r="P284" s="837">
        <f>IF(Indicadores[[#This Row],[Ventas]]=0,0,Indicadores[[#This Row],[UAI]]/Indicadores[[#This Row],[Ventas]])</f>
        <v>8.2494662375991595E-2</v>
      </c>
      <c r="Q284" s="837">
        <f>IFERROR(Indicadores[[#This Row],[Ventas]]/Indicadores[[#This Row],[Activos totales]],0)</f>
        <v>0.70272890044623582</v>
      </c>
    </row>
    <row r="285" spans="1:17" hidden="1" x14ac:dyDescent="0.35">
      <c r="A285" s="13" t="str">
        <f>MID(Indicadores[[#This Row],[CIIU]],2,4)</f>
        <v>5320</v>
      </c>
      <c r="B285" s="13" t="str">
        <f>Indicadores[[#This Row],[CIIU]]&amp;Indicadores[[#This Row],[Año]]</f>
        <v>H53202016</v>
      </c>
      <c r="C285" s="14" t="s">
        <v>2979</v>
      </c>
      <c r="D285" s="14" t="s">
        <v>3041</v>
      </c>
      <c r="E285" s="848">
        <v>2016</v>
      </c>
      <c r="F285" s="856" t="s">
        <v>3045</v>
      </c>
      <c r="G285" s="858" t="s">
        <v>3046</v>
      </c>
      <c r="H285" s="848" t="s">
        <v>3047</v>
      </c>
      <c r="I285" s="693" t="s">
        <v>3046</v>
      </c>
      <c r="J285" s="847">
        <v>9538708</v>
      </c>
      <c r="K285" s="847">
        <v>15151967</v>
      </c>
      <c r="L285" s="841">
        <v>100304703</v>
      </c>
      <c r="M285" s="847">
        <v>168221406</v>
      </c>
      <c r="N285" s="839">
        <f>Indicadores[[#This Row],[Ventas]]/Indicadores[[#This Row],[Activos totales]]</f>
        <v>1.6771038741822504</v>
      </c>
      <c r="O285" s="837">
        <f>IF(Indicadores[[#This Row],[Ventas]]=0,0,Indicadores[[#This Row],[EBITDA]]/Indicadores[[#This Row],[Ventas]])</f>
        <v>9.0071575076479865E-2</v>
      </c>
      <c r="P285" s="837">
        <f>IF(Indicadores[[#This Row],[Ventas]]=0,0,Indicadores[[#This Row],[UAI]]/Indicadores[[#This Row],[Ventas]])</f>
        <v>5.6703294942143094E-2</v>
      </c>
      <c r="Q285" s="837">
        <f>IFERROR(Indicadores[[#This Row],[Ventas]]/Indicadores[[#This Row],[Activos totales]],0)</f>
        <v>1.6771038741822504</v>
      </c>
    </row>
    <row r="286" spans="1:17" hidden="1" x14ac:dyDescent="0.35">
      <c r="A286" s="13" t="str">
        <f>MID(Indicadores[[#This Row],[CIIU]],2,4)</f>
        <v>5511</v>
      </c>
      <c r="B286" s="13" t="str">
        <f>Indicadores[[#This Row],[CIIU]]&amp;Indicadores[[#This Row],[Año]]</f>
        <v>I55112016</v>
      </c>
      <c r="C286" s="14" t="s">
        <v>3048</v>
      </c>
      <c r="D286" s="14" t="s">
        <v>3049</v>
      </c>
      <c r="E286" s="848">
        <v>2016</v>
      </c>
      <c r="F286" s="856" t="s">
        <v>3050</v>
      </c>
      <c r="G286" s="858" t="s">
        <v>3051</v>
      </c>
      <c r="H286" s="848" t="s">
        <v>3052</v>
      </c>
      <c r="I286" s="693" t="s">
        <v>3053</v>
      </c>
      <c r="J286" s="847">
        <v>310037420</v>
      </c>
      <c r="K286" s="847">
        <v>474441267</v>
      </c>
      <c r="L286" s="841">
        <v>8454120790</v>
      </c>
      <c r="M286" s="847">
        <v>2255144969</v>
      </c>
      <c r="N286" s="839">
        <f>Indicadores[[#This Row],[Ventas]]/Indicadores[[#This Row],[Activos totales]]</f>
        <v>0.26675097565053835</v>
      </c>
      <c r="O286" s="837">
        <f>IF(Indicadores[[#This Row],[Ventas]]=0,0,Indicadores[[#This Row],[EBITDA]]/Indicadores[[#This Row],[Ventas]])</f>
        <v>0.21038171537609918</v>
      </c>
      <c r="P286" s="837">
        <f>IF(Indicadores[[#This Row],[Ventas]]=0,0,Indicadores[[#This Row],[UAI]]/Indicadores[[#This Row],[Ventas]])</f>
        <v>0.13748003975880985</v>
      </c>
      <c r="Q286" s="837">
        <f>IFERROR(Indicadores[[#This Row],[Ventas]]/Indicadores[[#This Row],[Activos totales]],0)</f>
        <v>0.26675097565053835</v>
      </c>
    </row>
    <row r="287" spans="1:17" hidden="1" x14ac:dyDescent="0.35">
      <c r="A287" s="13" t="str">
        <f>MID(Indicadores[[#This Row],[CIIU]],2,4)</f>
        <v>5512</v>
      </c>
      <c r="B287" s="13" t="str">
        <f>Indicadores[[#This Row],[CIIU]]&amp;Indicadores[[#This Row],[Año]]</f>
        <v>I55122016</v>
      </c>
      <c r="C287" s="14" t="s">
        <v>3048</v>
      </c>
      <c r="D287" s="14" t="s">
        <v>3049</v>
      </c>
      <c r="E287" s="848">
        <v>2016</v>
      </c>
      <c r="F287" s="856" t="s">
        <v>3054</v>
      </c>
      <c r="G287" s="858" t="s">
        <v>3055</v>
      </c>
      <c r="H287" s="848" t="s">
        <v>3056</v>
      </c>
      <c r="I287" s="693" t="s">
        <v>3055</v>
      </c>
      <c r="J287" s="847">
        <v>-1282514</v>
      </c>
      <c r="K287" s="847">
        <v>-704121</v>
      </c>
      <c r="L287" s="841">
        <v>24611824</v>
      </c>
      <c r="M287" s="847">
        <v>3260469</v>
      </c>
      <c r="N287" s="839">
        <f>Indicadores[[#This Row],[Ventas]]/Indicadores[[#This Row],[Activos totales]]</f>
        <v>0.1324757157372814</v>
      </c>
      <c r="O287" s="837">
        <f>IF(Indicadores[[#This Row],[Ventas]]=0,0,Indicadores[[#This Row],[EBITDA]]/Indicadores[[#This Row],[Ventas]])</f>
        <v>-0.21595696815396803</v>
      </c>
      <c r="P287" s="837">
        <f>IF(Indicadores[[#This Row],[Ventas]]=0,0,Indicadores[[#This Row],[UAI]]/Indicadores[[#This Row],[Ventas]])</f>
        <v>-0.39335261276828581</v>
      </c>
      <c r="Q287" s="837">
        <f>IFERROR(Indicadores[[#This Row],[Ventas]]/Indicadores[[#This Row],[Activos totales]],0)</f>
        <v>0.1324757157372814</v>
      </c>
    </row>
    <row r="288" spans="1:17" hidden="1" x14ac:dyDescent="0.35">
      <c r="A288" s="13" t="str">
        <f>MID(Indicadores[[#This Row],[CIIU]],2,4)</f>
        <v>5513</v>
      </c>
      <c r="B288" s="13" t="str">
        <f>Indicadores[[#This Row],[CIIU]]&amp;Indicadores[[#This Row],[Año]]</f>
        <v>I55132016</v>
      </c>
      <c r="C288" s="14" t="s">
        <v>3048</v>
      </c>
      <c r="D288" s="14" t="s">
        <v>3049</v>
      </c>
      <c r="E288" s="848">
        <v>2016</v>
      </c>
      <c r="F288" s="856" t="s">
        <v>3057</v>
      </c>
      <c r="G288" s="858" t="s">
        <v>3058</v>
      </c>
      <c r="H288" s="848" t="s">
        <v>3059</v>
      </c>
      <c r="I288" s="693" t="s">
        <v>3060</v>
      </c>
      <c r="J288" s="847">
        <v>731002</v>
      </c>
      <c r="K288" s="847">
        <v>2379290</v>
      </c>
      <c r="L288" s="841">
        <v>46708585</v>
      </c>
      <c r="M288" s="847">
        <v>9854874</v>
      </c>
      <c r="N288" s="839">
        <f>Indicadores[[#This Row],[Ventas]]/Indicadores[[#This Row],[Activos totales]]</f>
        <v>0.21098635293704573</v>
      </c>
      <c r="O288" s="837">
        <f>IF(Indicadores[[#This Row],[Ventas]]=0,0,Indicadores[[#This Row],[EBITDA]]/Indicadores[[#This Row],[Ventas]])</f>
        <v>0.2414328179132478</v>
      </c>
      <c r="P288" s="837">
        <f>IF(Indicadores[[#This Row],[Ventas]]=0,0,Indicadores[[#This Row],[UAI]]/Indicadores[[#This Row],[Ventas]])</f>
        <v>7.4176696728948541E-2</v>
      </c>
      <c r="Q288" s="837">
        <f>IFERROR(Indicadores[[#This Row],[Ventas]]/Indicadores[[#This Row],[Activos totales]],0)</f>
        <v>0.21098635293704573</v>
      </c>
    </row>
    <row r="289" spans="1:17" hidden="1" x14ac:dyDescent="0.35">
      <c r="A289" s="13" t="str">
        <f>MID(Indicadores[[#This Row],[CIIU]],2,4)</f>
        <v>5519</v>
      </c>
      <c r="B289" s="13" t="str">
        <f>Indicadores[[#This Row],[CIIU]]&amp;Indicadores[[#This Row],[Año]]</f>
        <v>I55192016</v>
      </c>
      <c r="C289" s="14" t="s">
        <v>3048</v>
      </c>
      <c r="D289" s="14" t="s">
        <v>3049</v>
      </c>
      <c r="E289" s="848">
        <v>2016</v>
      </c>
      <c r="F289" s="856" t="s">
        <v>3061</v>
      </c>
      <c r="G289" s="858" t="s">
        <v>3062</v>
      </c>
      <c r="H289" s="848" t="s">
        <v>3063</v>
      </c>
      <c r="I289" s="693" t="s">
        <v>3062</v>
      </c>
      <c r="J289" s="847">
        <v>-102853</v>
      </c>
      <c r="K289" s="847">
        <v>-237410</v>
      </c>
      <c r="L289" s="841">
        <v>16907541</v>
      </c>
      <c r="M289" s="847">
        <v>1229204</v>
      </c>
      <c r="N289" s="839">
        <f>Indicadores[[#This Row],[Ventas]]/Indicadores[[#This Row],[Activos totales]]</f>
        <v>7.2701524130563994E-2</v>
      </c>
      <c r="O289" s="837">
        <f>IF(Indicadores[[#This Row],[Ventas]]=0,0,Indicadores[[#This Row],[EBITDA]]/Indicadores[[#This Row],[Ventas]])</f>
        <v>-0.19314125238772409</v>
      </c>
      <c r="P289" s="837">
        <f>IF(Indicadores[[#This Row],[Ventas]]=0,0,Indicadores[[#This Row],[UAI]]/Indicadores[[#This Row],[Ventas]])</f>
        <v>-8.3674475514235222E-2</v>
      </c>
      <c r="Q289" s="837">
        <f>IFERROR(Indicadores[[#This Row],[Ventas]]/Indicadores[[#This Row],[Activos totales]],0)</f>
        <v>7.2701524130563994E-2</v>
      </c>
    </row>
    <row r="290" spans="1:17" hidden="1" x14ac:dyDescent="0.35">
      <c r="A290" s="13" t="str">
        <f>MID(Indicadores[[#This Row],[CIIU]],2,4)</f>
        <v>5530</v>
      </c>
      <c r="B290" s="13" t="str">
        <f>Indicadores[[#This Row],[CIIU]]&amp;Indicadores[[#This Row],[Año]]</f>
        <v>I55302016</v>
      </c>
      <c r="C290" s="14" t="s">
        <v>3048</v>
      </c>
      <c r="D290" s="14" t="s">
        <v>3049</v>
      </c>
      <c r="E290" s="848">
        <v>2016</v>
      </c>
      <c r="F290" s="856" t="s">
        <v>3064</v>
      </c>
      <c r="G290" s="858" t="s">
        <v>3065</v>
      </c>
      <c r="H290" s="848" t="s">
        <v>3066</v>
      </c>
      <c r="I290" s="693" t="s">
        <v>3067</v>
      </c>
      <c r="J290" s="847">
        <v>368412</v>
      </c>
      <c r="K290" s="847">
        <v>1606559</v>
      </c>
      <c r="L290" s="841">
        <v>89698689</v>
      </c>
      <c r="M290" s="847">
        <v>12334297</v>
      </c>
      <c r="N290" s="839">
        <f>Indicadores[[#This Row],[Ventas]]/Indicadores[[#This Row],[Activos totales]]</f>
        <v>0.13750810783867756</v>
      </c>
      <c r="O290" s="837">
        <f>IF(Indicadores[[#This Row],[Ventas]]=0,0,Indicadores[[#This Row],[EBITDA]]/Indicadores[[#This Row],[Ventas]])</f>
        <v>0.13025136333266502</v>
      </c>
      <c r="P290" s="837">
        <f>IF(Indicadores[[#This Row],[Ventas]]=0,0,Indicadores[[#This Row],[UAI]]/Indicadores[[#This Row],[Ventas]])</f>
        <v>2.9868909431968436E-2</v>
      </c>
      <c r="Q290" s="837">
        <f>IFERROR(Indicadores[[#This Row],[Ventas]]/Indicadores[[#This Row],[Activos totales]],0)</f>
        <v>0.13750810783867756</v>
      </c>
    </row>
    <row r="291" spans="1:17" hidden="1" x14ac:dyDescent="0.35">
      <c r="A291" s="13" t="str">
        <f>MID(Indicadores[[#This Row],[CIIU]],2,4)</f>
        <v>5590</v>
      </c>
      <c r="B291" s="13" t="str">
        <f>Indicadores[[#This Row],[CIIU]]&amp;Indicadores[[#This Row],[Año]]</f>
        <v>I55902016</v>
      </c>
      <c r="C291" s="14" t="s">
        <v>3048</v>
      </c>
      <c r="D291" s="14" t="s">
        <v>3049</v>
      </c>
      <c r="E291" s="848">
        <v>2016</v>
      </c>
      <c r="F291" s="856" t="s">
        <v>3068</v>
      </c>
      <c r="G291" s="858" t="s">
        <v>3069</v>
      </c>
      <c r="H291" s="848" t="s">
        <v>3070</v>
      </c>
      <c r="I291" s="693" t="s">
        <v>3069</v>
      </c>
      <c r="J291" s="847">
        <v>-507205</v>
      </c>
      <c r="K291" s="847">
        <v>2730059</v>
      </c>
      <c r="L291" s="841">
        <v>84249931</v>
      </c>
      <c r="M291" s="847">
        <v>9121320</v>
      </c>
      <c r="N291" s="839">
        <f>Indicadores[[#This Row],[Ventas]]/Indicadores[[#This Row],[Activos totales]]</f>
        <v>0.10826501448410682</v>
      </c>
      <c r="O291" s="837">
        <f>IF(Indicadores[[#This Row],[Ventas]]=0,0,Indicadores[[#This Row],[EBITDA]]/Indicadores[[#This Row],[Ventas]])</f>
        <v>0.29930525406410474</v>
      </c>
      <c r="P291" s="837">
        <f>IF(Indicadores[[#This Row],[Ventas]]=0,0,Indicadores[[#This Row],[UAI]]/Indicadores[[#This Row],[Ventas]])</f>
        <v>-5.5606535019054257E-2</v>
      </c>
      <c r="Q291" s="837">
        <f>IFERROR(Indicadores[[#This Row],[Ventas]]/Indicadores[[#This Row],[Activos totales]],0)</f>
        <v>0.10826501448410682</v>
      </c>
    </row>
    <row r="292" spans="1:17" hidden="1" x14ac:dyDescent="0.35">
      <c r="A292" s="13" t="str">
        <f>MID(Indicadores[[#This Row],[CIIU]],2,4)</f>
        <v>5611</v>
      </c>
      <c r="B292" s="13" t="str">
        <f>Indicadores[[#This Row],[CIIU]]&amp;Indicadores[[#This Row],[Año]]</f>
        <v>I56112016</v>
      </c>
      <c r="C292" s="14" t="s">
        <v>3048</v>
      </c>
      <c r="D292" s="14" t="s">
        <v>3071</v>
      </c>
      <c r="E292" s="848">
        <v>2016</v>
      </c>
      <c r="F292" s="856" t="s">
        <v>3072</v>
      </c>
      <c r="G292" s="858" t="s">
        <v>3073</v>
      </c>
      <c r="H292" s="848" t="s">
        <v>3074</v>
      </c>
      <c r="I292" s="693" t="s">
        <v>3073</v>
      </c>
      <c r="J292" s="847">
        <v>46777116</v>
      </c>
      <c r="K292" s="847">
        <v>182172591</v>
      </c>
      <c r="L292" s="841">
        <v>1867623660</v>
      </c>
      <c r="M292" s="847">
        <v>2644255945</v>
      </c>
      <c r="N292" s="839">
        <f>Indicadores[[#This Row],[Ventas]]/Indicadores[[#This Row],[Activos totales]]</f>
        <v>1.41583981914215</v>
      </c>
      <c r="O292" s="837">
        <f>IF(Indicadores[[#This Row],[Ventas]]=0,0,Indicadores[[#This Row],[EBITDA]]/Indicadores[[#This Row],[Ventas]])</f>
        <v>6.8893705749047685E-2</v>
      </c>
      <c r="P292" s="837">
        <f>IF(Indicadores[[#This Row],[Ventas]]=0,0,Indicadores[[#This Row],[UAI]]/Indicadores[[#This Row],[Ventas]])</f>
        <v>1.7690086350548036E-2</v>
      </c>
      <c r="Q292" s="837">
        <f>IFERROR(Indicadores[[#This Row],[Ventas]]/Indicadores[[#This Row],[Activos totales]],0)</f>
        <v>1.41583981914215</v>
      </c>
    </row>
    <row r="293" spans="1:17" hidden="1" x14ac:dyDescent="0.35">
      <c r="A293" s="13" t="str">
        <f>MID(Indicadores[[#This Row],[CIIU]],2,4)</f>
        <v>5612</v>
      </c>
      <c r="B293" s="13" t="str">
        <f>Indicadores[[#This Row],[CIIU]]&amp;Indicadores[[#This Row],[Año]]</f>
        <v>I56122016</v>
      </c>
      <c r="C293" s="14" t="s">
        <v>3048</v>
      </c>
      <c r="D293" s="14" t="s">
        <v>3071</v>
      </c>
      <c r="E293" s="848">
        <v>2016</v>
      </c>
      <c r="F293" s="856" t="s">
        <v>3075</v>
      </c>
      <c r="G293" s="858" t="s">
        <v>3076</v>
      </c>
      <c r="H293" s="848" t="s">
        <v>3077</v>
      </c>
      <c r="I293" s="693" t="s">
        <v>3076</v>
      </c>
      <c r="J293" s="847">
        <v>4088267</v>
      </c>
      <c r="K293" s="847">
        <v>27058264</v>
      </c>
      <c r="L293" s="841">
        <v>296547229</v>
      </c>
      <c r="M293" s="847">
        <v>626025478</v>
      </c>
      <c r="N293" s="839">
        <f>Indicadores[[#This Row],[Ventas]]/Indicadores[[#This Row],[Activos totales]]</f>
        <v>2.1110481460610782</v>
      </c>
      <c r="O293" s="837">
        <f>IF(Indicadores[[#This Row],[Ventas]]=0,0,Indicadores[[#This Row],[EBITDA]]/Indicadores[[#This Row],[Ventas]])</f>
        <v>4.3222304763768739E-2</v>
      </c>
      <c r="P293" s="837">
        <f>IF(Indicadores[[#This Row],[Ventas]]=0,0,Indicadores[[#This Row],[UAI]]/Indicadores[[#This Row],[Ventas]])</f>
        <v>6.5305121655128548E-3</v>
      </c>
      <c r="Q293" s="837">
        <f>IFERROR(Indicadores[[#This Row],[Ventas]]/Indicadores[[#This Row],[Activos totales]],0)</f>
        <v>2.1110481460610782</v>
      </c>
    </row>
    <row r="294" spans="1:17" hidden="1" x14ac:dyDescent="0.35">
      <c r="A294" s="13" t="str">
        <f>MID(Indicadores[[#This Row],[CIIU]],2,4)</f>
        <v>5613</v>
      </c>
      <c r="B294" s="13" t="str">
        <f>Indicadores[[#This Row],[CIIU]]&amp;Indicadores[[#This Row],[Año]]</f>
        <v>I56132016</v>
      </c>
      <c r="C294" s="14" t="s">
        <v>3048</v>
      </c>
      <c r="D294" s="14" t="s">
        <v>3071</v>
      </c>
      <c r="E294" s="848">
        <v>2016</v>
      </c>
      <c r="F294" s="856" t="s">
        <v>3078</v>
      </c>
      <c r="G294" s="858" t="s">
        <v>3079</v>
      </c>
      <c r="H294" s="848" t="s">
        <v>3080</v>
      </c>
      <c r="I294" s="693" t="s">
        <v>3079</v>
      </c>
      <c r="J294" s="847">
        <v>-18930685</v>
      </c>
      <c r="K294" s="847">
        <v>-13206838</v>
      </c>
      <c r="L294" s="841">
        <v>68635554</v>
      </c>
      <c r="M294" s="847">
        <v>123987590</v>
      </c>
      <c r="N294" s="839">
        <f>Indicadores[[#This Row],[Ventas]]/Indicadores[[#This Row],[Activos totales]]</f>
        <v>1.8064630176948815</v>
      </c>
      <c r="O294" s="837">
        <f>IF(Indicadores[[#This Row],[Ventas]]=0,0,Indicadores[[#This Row],[EBITDA]]/Indicadores[[#This Row],[Ventas]])</f>
        <v>-0.10651741839647016</v>
      </c>
      <c r="P294" s="837">
        <f>IF(Indicadores[[#This Row],[Ventas]]=0,0,Indicadores[[#This Row],[UAI]]/Indicadores[[#This Row],[Ventas]])</f>
        <v>-0.15268209503870508</v>
      </c>
      <c r="Q294" s="837">
        <f>IFERROR(Indicadores[[#This Row],[Ventas]]/Indicadores[[#This Row],[Activos totales]],0)</f>
        <v>1.8064630176948815</v>
      </c>
    </row>
    <row r="295" spans="1:17" hidden="1" x14ac:dyDescent="0.35">
      <c r="A295" s="13" t="str">
        <f>MID(Indicadores[[#This Row],[CIIU]],2,4)</f>
        <v>5619</v>
      </c>
      <c r="B295" s="13" t="str">
        <f>Indicadores[[#This Row],[CIIU]]&amp;Indicadores[[#This Row],[Año]]</f>
        <v>I56192016</v>
      </c>
      <c r="C295" s="14" t="s">
        <v>3048</v>
      </c>
      <c r="D295" s="14" t="s">
        <v>3071</v>
      </c>
      <c r="E295" s="848">
        <v>2016</v>
      </c>
      <c r="F295" s="856" t="s">
        <v>3081</v>
      </c>
      <c r="G295" s="858" t="s">
        <v>3082</v>
      </c>
      <c r="H295" s="848" t="s">
        <v>3083</v>
      </c>
      <c r="I295" s="693" t="s">
        <v>3082</v>
      </c>
      <c r="J295" s="847">
        <v>23672476</v>
      </c>
      <c r="K295" s="847">
        <v>36988360</v>
      </c>
      <c r="L295" s="841">
        <v>189378918</v>
      </c>
      <c r="M295" s="847">
        <v>608071062</v>
      </c>
      <c r="N295" s="839">
        <f>Indicadores[[#This Row],[Ventas]]/Indicadores[[#This Row],[Activos totales]]</f>
        <v>3.2108698709536401</v>
      </c>
      <c r="O295" s="837">
        <f>IF(Indicadores[[#This Row],[Ventas]]=0,0,Indicadores[[#This Row],[EBITDA]]/Indicadores[[#This Row],[Ventas]])</f>
        <v>6.0829008830550139E-2</v>
      </c>
      <c r="P295" s="837">
        <f>IF(Indicadores[[#This Row],[Ventas]]=0,0,Indicadores[[#This Row],[UAI]]/Indicadores[[#This Row],[Ventas]])</f>
        <v>3.8930443297431575E-2</v>
      </c>
      <c r="Q295" s="837">
        <f>IFERROR(Indicadores[[#This Row],[Ventas]]/Indicadores[[#This Row],[Activos totales]],0)</f>
        <v>3.2108698709536401</v>
      </c>
    </row>
    <row r="296" spans="1:17" hidden="1" x14ac:dyDescent="0.35">
      <c r="A296" s="13" t="str">
        <f>MID(Indicadores[[#This Row],[CIIU]],2,4)</f>
        <v>5621</v>
      </c>
      <c r="B296" s="13" t="str">
        <f>Indicadores[[#This Row],[CIIU]]&amp;Indicadores[[#This Row],[Año]]</f>
        <v>I56212016</v>
      </c>
      <c r="C296" s="14" t="s">
        <v>3048</v>
      </c>
      <c r="D296" s="14" t="s">
        <v>3071</v>
      </c>
      <c r="E296" s="848">
        <v>2016</v>
      </c>
      <c r="F296" s="856" t="s">
        <v>3084</v>
      </c>
      <c r="G296" s="858" t="s">
        <v>3085</v>
      </c>
      <c r="H296" s="848" t="s">
        <v>3086</v>
      </c>
      <c r="I296" s="693" t="s">
        <v>3085</v>
      </c>
      <c r="J296" s="847">
        <v>5371406</v>
      </c>
      <c r="K296" s="847">
        <v>11780854</v>
      </c>
      <c r="L296" s="841">
        <v>96665630</v>
      </c>
      <c r="M296" s="847">
        <v>180980252</v>
      </c>
      <c r="N296" s="839">
        <f>Indicadores[[#This Row],[Ventas]]/Indicadores[[#This Row],[Activos totales]]</f>
        <v>1.8722295814965464</v>
      </c>
      <c r="O296" s="837">
        <f>IF(Indicadores[[#This Row],[Ventas]]=0,0,Indicadores[[#This Row],[EBITDA]]/Indicadores[[#This Row],[Ventas]])</f>
        <v>6.5094693314936919E-2</v>
      </c>
      <c r="P296" s="837">
        <f>IF(Indicadores[[#This Row],[Ventas]]=0,0,Indicadores[[#This Row],[UAI]]/Indicadores[[#This Row],[Ventas]])</f>
        <v>2.9679514425695462E-2</v>
      </c>
      <c r="Q296" s="837">
        <f>IFERROR(Indicadores[[#This Row],[Ventas]]/Indicadores[[#This Row],[Activos totales]],0)</f>
        <v>1.8722295814965464</v>
      </c>
    </row>
    <row r="297" spans="1:17" hidden="1" x14ac:dyDescent="0.35">
      <c r="A297" s="13" t="str">
        <f>MID(Indicadores[[#This Row],[CIIU]],2,4)</f>
        <v>5629</v>
      </c>
      <c r="B297" s="13" t="str">
        <f>Indicadores[[#This Row],[CIIU]]&amp;Indicadores[[#This Row],[Año]]</f>
        <v>I56292016</v>
      </c>
      <c r="C297" s="14" t="s">
        <v>3048</v>
      </c>
      <c r="D297" s="14" t="s">
        <v>3071</v>
      </c>
      <c r="E297" s="848">
        <v>2016</v>
      </c>
      <c r="F297" s="856" t="s">
        <v>3087</v>
      </c>
      <c r="G297" s="858" t="s">
        <v>3088</v>
      </c>
      <c r="H297" s="848" t="s">
        <v>3089</v>
      </c>
      <c r="I297" s="693" t="s">
        <v>3088</v>
      </c>
      <c r="J297" s="847">
        <v>25377912</v>
      </c>
      <c r="K297" s="847">
        <v>42264564</v>
      </c>
      <c r="L297" s="841">
        <v>289108379</v>
      </c>
      <c r="M297" s="847">
        <v>406761299</v>
      </c>
      <c r="N297" s="839">
        <f>Indicadores[[#This Row],[Ventas]]/Indicadores[[#This Row],[Activos totales]]</f>
        <v>1.4069509171852816</v>
      </c>
      <c r="O297" s="837">
        <f>IF(Indicadores[[#This Row],[Ventas]]=0,0,Indicadores[[#This Row],[EBITDA]]/Indicadores[[#This Row],[Ventas]])</f>
        <v>0.10390507677083606</v>
      </c>
      <c r="P297" s="837">
        <f>IF(Indicadores[[#This Row],[Ventas]]=0,0,Indicadores[[#This Row],[UAI]]/Indicadores[[#This Row],[Ventas]])</f>
        <v>6.2390183290274133E-2</v>
      </c>
      <c r="Q297" s="837">
        <f>IFERROR(Indicadores[[#This Row],[Ventas]]/Indicadores[[#This Row],[Activos totales]],0)</f>
        <v>1.4069509171852816</v>
      </c>
    </row>
    <row r="298" spans="1:17" hidden="1" x14ac:dyDescent="0.35">
      <c r="A298" s="13" t="str">
        <f>MID(Indicadores[[#This Row],[CIIU]],2,4)</f>
        <v>5630</v>
      </c>
      <c r="B298" s="13" t="str">
        <f>Indicadores[[#This Row],[CIIU]]&amp;Indicadores[[#This Row],[Año]]</f>
        <v>I56302016</v>
      </c>
      <c r="C298" s="14" t="s">
        <v>3048</v>
      </c>
      <c r="D298" s="14" t="s">
        <v>3071</v>
      </c>
      <c r="E298" s="848">
        <v>2016</v>
      </c>
      <c r="F298" s="856" t="s">
        <v>3090</v>
      </c>
      <c r="G298" s="858" t="s">
        <v>3091</v>
      </c>
      <c r="H298" s="848" t="s">
        <v>3092</v>
      </c>
      <c r="I298" s="693" t="s">
        <v>3091</v>
      </c>
      <c r="J298" s="847">
        <v>3165906</v>
      </c>
      <c r="K298" s="847">
        <v>5515351</v>
      </c>
      <c r="L298" s="841">
        <v>32386489</v>
      </c>
      <c r="M298" s="847">
        <v>54087373</v>
      </c>
      <c r="N298" s="839">
        <f>Indicadores[[#This Row],[Ventas]]/Indicadores[[#This Row],[Activos totales]]</f>
        <v>1.6700597894387379</v>
      </c>
      <c r="O298" s="837">
        <f>IF(Indicadores[[#This Row],[Ventas]]=0,0,Indicadores[[#This Row],[EBITDA]]/Indicadores[[#This Row],[Ventas]])</f>
        <v>0.10197113843928046</v>
      </c>
      <c r="P298" s="837">
        <f>IF(Indicadores[[#This Row],[Ventas]]=0,0,Indicadores[[#This Row],[UAI]]/Indicadores[[#This Row],[Ventas]])</f>
        <v>5.8533181117892338E-2</v>
      </c>
      <c r="Q298" s="837">
        <f>IFERROR(Indicadores[[#This Row],[Ventas]]/Indicadores[[#This Row],[Activos totales]],0)</f>
        <v>1.6700597894387379</v>
      </c>
    </row>
    <row r="299" spans="1:17" hidden="1" x14ac:dyDescent="0.35">
      <c r="A299" s="13" t="str">
        <f>MID(Indicadores[[#This Row],[CIIU]],2,4)</f>
        <v>5811</v>
      </c>
      <c r="B299" s="13" t="str">
        <f>Indicadores[[#This Row],[CIIU]]&amp;Indicadores[[#This Row],[Año]]</f>
        <v>J58112016</v>
      </c>
      <c r="C299" s="14" t="s">
        <v>3093</v>
      </c>
      <c r="D299" s="14" t="s">
        <v>3094</v>
      </c>
      <c r="E299" s="848">
        <v>2016</v>
      </c>
      <c r="F299" s="856" t="s">
        <v>3095</v>
      </c>
      <c r="G299" s="858" t="s">
        <v>3096</v>
      </c>
      <c r="H299" s="848" t="s">
        <v>3097</v>
      </c>
      <c r="I299" s="693" t="s">
        <v>3096</v>
      </c>
      <c r="J299" s="847">
        <v>46266344</v>
      </c>
      <c r="K299" s="847">
        <v>70818123</v>
      </c>
      <c r="L299" s="841">
        <v>663345630</v>
      </c>
      <c r="M299" s="847">
        <v>505714170</v>
      </c>
      <c r="N299" s="839">
        <f>Indicadores[[#This Row],[Ventas]]/Indicadores[[#This Row],[Activos totales]]</f>
        <v>0.76236903829456149</v>
      </c>
      <c r="O299" s="837">
        <f>IF(Indicadores[[#This Row],[Ventas]]=0,0,Indicadores[[#This Row],[EBITDA]]/Indicadores[[#This Row],[Ventas]])</f>
        <v>0.14003586848278346</v>
      </c>
      <c r="P299" s="837">
        <f>IF(Indicadores[[#This Row],[Ventas]]=0,0,Indicadores[[#This Row],[UAI]]/Indicadores[[#This Row],[Ventas]])</f>
        <v>9.1487141837453365E-2</v>
      </c>
      <c r="Q299" s="837">
        <f>IFERROR(Indicadores[[#This Row],[Ventas]]/Indicadores[[#This Row],[Activos totales]],0)</f>
        <v>0.76236903829456149</v>
      </c>
    </row>
    <row r="300" spans="1:17" hidden="1" x14ac:dyDescent="0.35">
      <c r="A300" s="13" t="str">
        <f>MID(Indicadores[[#This Row],[CIIU]],2,4)</f>
        <v>5813</v>
      </c>
      <c r="B300" s="13" t="str">
        <f>Indicadores[[#This Row],[CIIU]]&amp;Indicadores[[#This Row],[Año]]</f>
        <v>J58132016</v>
      </c>
      <c r="C300" s="14" t="s">
        <v>3093</v>
      </c>
      <c r="D300" s="14" t="s">
        <v>3094</v>
      </c>
      <c r="E300" s="848">
        <v>2016</v>
      </c>
      <c r="F300" s="856" t="s">
        <v>3098</v>
      </c>
      <c r="G300" s="858" t="s">
        <v>3099</v>
      </c>
      <c r="H300" s="848" t="s">
        <v>3100</v>
      </c>
      <c r="I300" s="693" t="s">
        <v>3099</v>
      </c>
      <c r="J300" s="847">
        <v>9197604</v>
      </c>
      <c r="K300" s="847">
        <v>27753363</v>
      </c>
      <c r="L300" s="841">
        <v>649067857</v>
      </c>
      <c r="M300" s="847">
        <v>440229158</v>
      </c>
      <c r="N300" s="839">
        <f>Indicadores[[#This Row],[Ventas]]/Indicadores[[#This Row],[Activos totales]]</f>
        <v>0.67824828059541398</v>
      </c>
      <c r="O300" s="837">
        <f>IF(Indicadores[[#This Row],[Ventas]]=0,0,Indicadores[[#This Row],[EBITDA]]/Indicadores[[#This Row],[Ventas]])</f>
        <v>6.3042991350427541E-2</v>
      </c>
      <c r="P300" s="837">
        <f>IF(Indicadores[[#This Row],[Ventas]]=0,0,Indicadores[[#This Row],[UAI]]/Indicadores[[#This Row],[Ventas]])</f>
        <v>2.0892764218039369E-2</v>
      </c>
      <c r="Q300" s="837">
        <f>IFERROR(Indicadores[[#This Row],[Ventas]]/Indicadores[[#This Row],[Activos totales]],0)</f>
        <v>0.67824828059541398</v>
      </c>
    </row>
    <row r="301" spans="1:17" hidden="1" x14ac:dyDescent="0.35">
      <c r="A301" s="13" t="str">
        <f>MID(Indicadores[[#This Row],[CIIU]],2,4)</f>
        <v>5819</v>
      </c>
      <c r="B301" s="13" t="str">
        <f>Indicadores[[#This Row],[CIIU]]&amp;Indicadores[[#This Row],[Año]]</f>
        <v>J58192016</v>
      </c>
      <c r="C301" s="14" t="s">
        <v>3093</v>
      </c>
      <c r="D301" s="14" t="s">
        <v>3094</v>
      </c>
      <c r="E301" s="848">
        <v>2016</v>
      </c>
      <c r="F301" s="856" t="s">
        <v>3101</v>
      </c>
      <c r="G301" s="858" t="s">
        <v>3102</v>
      </c>
      <c r="H301" s="848" t="s">
        <v>3103</v>
      </c>
      <c r="I301" s="693" t="s">
        <v>3102</v>
      </c>
      <c r="J301" s="847">
        <v>149111</v>
      </c>
      <c r="K301" s="847">
        <v>-163316</v>
      </c>
      <c r="L301" s="841">
        <v>8057893</v>
      </c>
      <c r="M301" s="847">
        <v>4851888</v>
      </c>
      <c r="N301" s="839">
        <f>Indicadores[[#This Row],[Ventas]]/Indicadores[[#This Row],[Activos totales]]</f>
        <v>0.60212862096828534</v>
      </c>
      <c r="O301" s="837">
        <f>IF(Indicadores[[#This Row],[Ventas]]=0,0,Indicadores[[#This Row],[EBITDA]]/Indicadores[[#This Row],[Ventas]])</f>
        <v>-3.3660298836246841E-2</v>
      </c>
      <c r="P301" s="837">
        <f>IF(Indicadores[[#This Row],[Ventas]]=0,0,Indicadores[[#This Row],[UAI]]/Indicadores[[#This Row],[Ventas]])</f>
        <v>3.0732572557322015E-2</v>
      </c>
      <c r="Q301" s="837">
        <f>IFERROR(Indicadores[[#This Row],[Ventas]]/Indicadores[[#This Row],[Activos totales]],0)</f>
        <v>0.60212862096828534</v>
      </c>
    </row>
    <row r="302" spans="1:17" hidden="1" x14ac:dyDescent="0.35">
      <c r="A302" s="13" t="str">
        <f>MID(Indicadores[[#This Row],[CIIU]],2,4)</f>
        <v>5820</v>
      </c>
      <c r="B302" s="13" t="str">
        <f>Indicadores[[#This Row],[CIIU]]&amp;Indicadores[[#This Row],[Año]]</f>
        <v>J58202016</v>
      </c>
      <c r="C302" s="14" t="s">
        <v>3093</v>
      </c>
      <c r="D302" s="14" t="s">
        <v>3094</v>
      </c>
      <c r="E302" s="848">
        <v>2016</v>
      </c>
      <c r="F302" s="856" t="s">
        <v>3104</v>
      </c>
      <c r="G302" s="858" t="s">
        <v>3105</v>
      </c>
      <c r="H302" s="848" t="s">
        <v>3106</v>
      </c>
      <c r="I302" s="693" t="s">
        <v>3105</v>
      </c>
      <c r="J302" s="847">
        <v>4705728</v>
      </c>
      <c r="K302" s="847">
        <v>4886219</v>
      </c>
      <c r="L302" s="841">
        <v>8980887</v>
      </c>
      <c r="M302" s="847">
        <v>11468272</v>
      </c>
      <c r="N302" s="839">
        <f>Indicadores[[#This Row],[Ventas]]/Indicadores[[#This Row],[Activos totales]]</f>
        <v>1.2769642909436452</v>
      </c>
      <c r="O302" s="837">
        <f>IF(Indicadores[[#This Row],[Ventas]]=0,0,Indicadores[[#This Row],[EBITDA]]/Indicadores[[#This Row],[Ventas]])</f>
        <v>0.4260641010258564</v>
      </c>
      <c r="P302" s="837">
        <f>IF(Indicadores[[#This Row],[Ventas]]=0,0,Indicadores[[#This Row],[UAI]]/Indicadores[[#This Row],[Ventas]])</f>
        <v>0.41032581020052539</v>
      </c>
      <c r="Q302" s="837">
        <f>IFERROR(Indicadores[[#This Row],[Ventas]]/Indicadores[[#This Row],[Activos totales]],0)</f>
        <v>1.2769642909436452</v>
      </c>
    </row>
    <row r="303" spans="1:17" hidden="1" x14ac:dyDescent="0.35">
      <c r="A303" s="13" t="str">
        <f>MID(Indicadores[[#This Row],[CIIU]],2,4)</f>
        <v>5911</v>
      </c>
      <c r="B303" s="13" t="str">
        <f>Indicadores[[#This Row],[CIIU]]&amp;Indicadores[[#This Row],[Año]]</f>
        <v>J59112016</v>
      </c>
      <c r="C303" s="14" t="s">
        <v>3093</v>
      </c>
      <c r="D303" s="14" t="s">
        <v>3107</v>
      </c>
      <c r="E303" s="848">
        <v>2016</v>
      </c>
      <c r="F303" s="856" t="s">
        <v>3108</v>
      </c>
      <c r="G303" s="858" t="s">
        <v>3109</v>
      </c>
      <c r="H303" s="848" t="s">
        <v>3110</v>
      </c>
      <c r="I303" s="693" t="s">
        <v>3109</v>
      </c>
      <c r="J303" s="847">
        <v>18386064</v>
      </c>
      <c r="K303" s="847">
        <v>88696392</v>
      </c>
      <c r="L303" s="841">
        <v>328901308</v>
      </c>
      <c r="M303" s="847">
        <v>300538951</v>
      </c>
      <c r="N303" s="839">
        <f>Indicadores[[#This Row],[Ventas]]/Indicadores[[#This Row],[Activos totales]]</f>
        <v>0.91376635996838296</v>
      </c>
      <c r="O303" s="837">
        <f>IF(Indicadores[[#This Row],[Ventas]]=0,0,Indicadores[[#This Row],[EBITDA]]/Indicadores[[#This Row],[Ventas]])</f>
        <v>0.29512444794551773</v>
      </c>
      <c r="P303" s="837">
        <f>IF(Indicadores[[#This Row],[Ventas]]=0,0,Indicadores[[#This Row],[UAI]]/Indicadores[[#This Row],[Ventas]])</f>
        <v>6.1176975359842789E-2</v>
      </c>
      <c r="Q303" s="837">
        <f>IFERROR(Indicadores[[#This Row],[Ventas]]/Indicadores[[#This Row],[Activos totales]],0)</f>
        <v>0.91376635996838296</v>
      </c>
    </row>
    <row r="304" spans="1:17" hidden="1" x14ac:dyDescent="0.35">
      <c r="A304" s="13" t="str">
        <f>MID(Indicadores[[#This Row],[CIIU]],2,4)</f>
        <v>5912</v>
      </c>
      <c r="B304" s="13" t="str">
        <f>Indicadores[[#This Row],[CIIU]]&amp;Indicadores[[#This Row],[Año]]</f>
        <v>J59122016</v>
      </c>
      <c r="C304" s="14" t="s">
        <v>3093</v>
      </c>
      <c r="D304" s="14" t="s">
        <v>3107</v>
      </c>
      <c r="E304" s="848">
        <v>2016</v>
      </c>
      <c r="F304" s="856" t="s">
        <v>3111</v>
      </c>
      <c r="G304" s="858" t="s">
        <v>3112</v>
      </c>
      <c r="H304" s="848" t="s">
        <v>3113</v>
      </c>
      <c r="I304" s="693" t="s">
        <v>3112</v>
      </c>
      <c r="J304" s="847">
        <v>-189324</v>
      </c>
      <c r="K304" s="847">
        <v>-194900</v>
      </c>
      <c r="L304" s="841">
        <v>10950230</v>
      </c>
      <c r="M304" s="847">
        <v>2665300</v>
      </c>
      <c r="N304" s="839">
        <f>Indicadores[[#This Row],[Ventas]]/Indicadores[[#This Row],[Activos totales]]</f>
        <v>0.24340128015575929</v>
      </c>
      <c r="O304" s="837">
        <f>IF(Indicadores[[#This Row],[Ventas]]=0,0,Indicadores[[#This Row],[EBITDA]]/Indicadores[[#This Row],[Ventas]])</f>
        <v>-7.3124976550482126E-2</v>
      </c>
      <c r="P304" s="837">
        <f>IF(Indicadores[[#This Row],[Ventas]]=0,0,Indicadores[[#This Row],[UAI]]/Indicadores[[#This Row],[Ventas]])</f>
        <v>-7.1032904363486291E-2</v>
      </c>
      <c r="Q304" s="837">
        <f>IFERROR(Indicadores[[#This Row],[Ventas]]/Indicadores[[#This Row],[Activos totales]],0)</f>
        <v>0.24340128015575929</v>
      </c>
    </row>
    <row r="305" spans="1:17" hidden="1" x14ac:dyDescent="0.35">
      <c r="A305" s="13" t="str">
        <f>MID(Indicadores[[#This Row],[CIIU]],2,4)</f>
        <v>5913</v>
      </c>
      <c r="B305" s="13" t="str">
        <f>Indicadores[[#This Row],[CIIU]]&amp;Indicadores[[#This Row],[Año]]</f>
        <v>J59132016</v>
      </c>
      <c r="C305" s="14" t="s">
        <v>3093</v>
      </c>
      <c r="D305" s="14" t="s">
        <v>3107</v>
      </c>
      <c r="E305" s="848">
        <v>2016</v>
      </c>
      <c r="F305" s="856" t="s">
        <v>3114</v>
      </c>
      <c r="G305" s="857" t="s">
        <v>3115</v>
      </c>
      <c r="H305" s="848" t="s">
        <v>3116</v>
      </c>
      <c r="I305" s="693" t="s">
        <v>3115</v>
      </c>
      <c r="J305" s="847">
        <v>6831977</v>
      </c>
      <c r="K305" s="847">
        <v>8069345</v>
      </c>
      <c r="L305" s="841">
        <v>60801441</v>
      </c>
      <c r="M305" s="847">
        <v>93022734</v>
      </c>
      <c r="N305" s="839">
        <f>Indicadores[[#This Row],[Ventas]]/Indicadores[[#This Row],[Activos totales]]</f>
        <v>1.5299429169779051</v>
      </c>
      <c r="O305" s="837">
        <f>IF(Indicadores[[#This Row],[Ventas]]=0,0,Indicadores[[#This Row],[EBITDA]]/Indicadores[[#This Row],[Ventas]])</f>
        <v>8.6745945351380443E-2</v>
      </c>
      <c r="P305" s="837">
        <f>IF(Indicadores[[#This Row],[Ventas]]=0,0,Indicadores[[#This Row],[UAI]]/Indicadores[[#This Row],[Ventas]])</f>
        <v>7.3444164735042075E-2</v>
      </c>
      <c r="Q305" s="837">
        <f>IFERROR(Indicadores[[#This Row],[Ventas]]/Indicadores[[#This Row],[Activos totales]],0)</f>
        <v>1.5299429169779051</v>
      </c>
    </row>
    <row r="306" spans="1:17" hidden="1" x14ac:dyDescent="0.35">
      <c r="A306" s="13" t="str">
        <f>MID(Indicadores[[#This Row],[CIIU]],2,4)</f>
        <v>5914</v>
      </c>
      <c r="B306" s="13" t="str">
        <f>Indicadores[[#This Row],[CIIU]]&amp;Indicadores[[#This Row],[Año]]</f>
        <v>J59142016</v>
      </c>
      <c r="C306" s="14" t="s">
        <v>3093</v>
      </c>
      <c r="D306" s="14" t="s">
        <v>3107</v>
      </c>
      <c r="E306" s="848">
        <v>2016</v>
      </c>
      <c r="F306" s="856" t="s">
        <v>3117</v>
      </c>
      <c r="G306" s="858" t="s">
        <v>3118</v>
      </c>
      <c r="H306" s="848" t="s">
        <v>3119</v>
      </c>
      <c r="I306" s="693" t="s">
        <v>3118</v>
      </c>
      <c r="J306" s="847">
        <v>23653752</v>
      </c>
      <c r="K306" s="847">
        <v>60536818</v>
      </c>
      <c r="L306" s="841">
        <v>1362790368</v>
      </c>
      <c r="M306" s="847">
        <v>462527988</v>
      </c>
      <c r="N306" s="839">
        <f>Indicadores[[#This Row],[Ventas]]/Indicadores[[#This Row],[Activos totales]]</f>
        <v>0.3393977524795655</v>
      </c>
      <c r="O306" s="837">
        <f>IF(Indicadores[[#This Row],[Ventas]]=0,0,Indicadores[[#This Row],[EBITDA]]/Indicadores[[#This Row],[Ventas]])</f>
        <v>0.13088249699605206</v>
      </c>
      <c r="P306" s="837">
        <f>IF(Indicadores[[#This Row],[Ventas]]=0,0,Indicadores[[#This Row],[UAI]]/Indicadores[[#This Row],[Ventas]])</f>
        <v>5.114015284195083E-2</v>
      </c>
      <c r="Q306" s="837">
        <f>IFERROR(Indicadores[[#This Row],[Ventas]]/Indicadores[[#This Row],[Activos totales]],0)</f>
        <v>0.3393977524795655</v>
      </c>
    </row>
    <row r="307" spans="1:17" hidden="1" x14ac:dyDescent="0.35">
      <c r="A307" s="13" t="str">
        <f>MID(Indicadores[[#This Row],[CIIU]],2,4)</f>
        <v>5920</v>
      </c>
      <c r="B307" s="13" t="str">
        <f>Indicadores[[#This Row],[CIIU]]&amp;Indicadores[[#This Row],[Año]]</f>
        <v>J59202016</v>
      </c>
      <c r="C307" s="14" t="s">
        <v>3093</v>
      </c>
      <c r="D307" s="14" t="s">
        <v>3107</v>
      </c>
      <c r="E307" s="848">
        <v>2016</v>
      </c>
      <c r="F307" s="856" t="s">
        <v>3120</v>
      </c>
      <c r="G307" s="858" t="s">
        <v>3121</v>
      </c>
      <c r="H307" s="848" t="s">
        <v>3122</v>
      </c>
      <c r="I307" s="693" t="s">
        <v>3121</v>
      </c>
      <c r="J307" s="847">
        <v>-294214</v>
      </c>
      <c r="K307" s="847">
        <v>1508391</v>
      </c>
      <c r="L307" s="841">
        <v>68727913</v>
      </c>
      <c r="M307" s="847">
        <v>92008890</v>
      </c>
      <c r="N307" s="839">
        <f>Indicadores[[#This Row],[Ventas]]/Indicadores[[#This Row],[Activos totales]]</f>
        <v>1.3387412185788328</v>
      </c>
      <c r="O307" s="837">
        <f>IF(Indicadores[[#This Row],[Ventas]]=0,0,Indicadores[[#This Row],[EBITDA]]/Indicadores[[#This Row],[Ventas]])</f>
        <v>1.6393970191358683E-2</v>
      </c>
      <c r="P307" s="837">
        <f>IF(Indicadores[[#This Row],[Ventas]]=0,0,Indicadores[[#This Row],[UAI]]/Indicadores[[#This Row],[Ventas]])</f>
        <v>-3.1976692686978398E-3</v>
      </c>
      <c r="Q307" s="837">
        <f>IFERROR(Indicadores[[#This Row],[Ventas]]/Indicadores[[#This Row],[Activos totales]],0)</f>
        <v>1.3387412185788328</v>
      </c>
    </row>
    <row r="308" spans="1:17" hidden="1" x14ac:dyDescent="0.35">
      <c r="A308" s="13" t="str">
        <f>MID(Indicadores[[#This Row],[CIIU]],2,4)</f>
        <v>6010</v>
      </c>
      <c r="B308" s="13" t="str">
        <f>Indicadores[[#This Row],[CIIU]]&amp;Indicadores[[#This Row],[Año]]</f>
        <v>J60102016</v>
      </c>
      <c r="C308" s="14" t="s">
        <v>3093</v>
      </c>
      <c r="D308" s="14" t="s">
        <v>3123</v>
      </c>
      <c r="E308" s="848">
        <v>2016</v>
      </c>
      <c r="F308" s="856" t="s">
        <v>3124</v>
      </c>
      <c r="G308" s="858" t="s">
        <v>3125</v>
      </c>
      <c r="H308" s="848" t="s">
        <v>3126</v>
      </c>
      <c r="I308" s="693" t="s">
        <v>3125</v>
      </c>
      <c r="J308" s="847">
        <v>48345707</v>
      </c>
      <c r="K308" s="847">
        <v>99421366</v>
      </c>
      <c r="L308" s="841">
        <v>936343700</v>
      </c>
      <c r="M308" s="847">
        <v>509578296</v>
      </c>
      <c r="N308" s="839">
        <f>Indicadores[[#This Row],[Ventas]]/Indicadores[[#This Row],[Activos totales]]</f>
        <v>0.54422141784047884</v>
      </c>
      <c r="O308" s="837">
        <f>IF(Indicadores[[#This Row],[Ventas]]=0,0,Indicadores[[#This Row],[EBITDA]]/Indicadores[[#This Row],[Ventas]])</f>
        <v>0.19510518163826979</v>
      </c>
      <c r="P308" s="837">
        <f>IF(Indicadores[[#This Row],[Ventas]]=0,0,Indicadores[[#This Row],[UAI]]/Indicadores[[#This Row],[Ventas]])</f>
        <v>9.4873952402399805E-2</v>
      </c>
      <c r="Q308" s="837">
        <f>IFERROR(Indicadores[[#This Row],[Ventas]]/Indicadores[[#This Row],[Activos totales]],0)</f>
        <v>0.54422141784047884</v>
      </c>
    </row>
    <row r="309" spans="1:17" hidden="1" x14ac:dyDescent="0.35">
      <c r="A309" s="13" t="str">
        <f>MID(Indicadores[[#This Row],[CIIU]],2,4)</f>
        <v>6020</v>
      </c>
      <c r="B309" s="13" t="str">
        <f>Indicadores[[#This Row],[CIIU]]&amp;Indicadores[[#This Row],[Año]]</f>
        <v>J60202016</v>
      </c>
      <c r="C309" s="14" t="s">
        <v>3093</v>
      </c>
      <c r="D309" s="14" t="s">
        <v>3123</v>
      </c>
      <c r="E309" s="848">
        <v>2016</v>
      </c>
      <c r="F309" s="856" t="s">
        <v>3127</v>
      </c>
      <c r="G309" s="858" t="s">
        <v>3128</v>
      </c>
      <c r="H309" s="848" t="s">
        <v>3129</v>
      </c>
      <c r="I309" s="693" t="s">
        <v>3128</v>
      </c>
      <c r="J309" s="847">
        <v>2070937</v>
      </c>
      <c r="K309" s="847">
        <v>28286887</v>
      </c>
      <c r="L309" s="841">
        <v>398572206</v>
      </c>
      <c r="M309" s="847">
        <v>308196957</v>
      </c>
      <c r="N309" s="839">
        <f>Indicadores[[#This Row],[Ventas]]/Indicadores[[#This Row],[Activos totales]]</f>
        <v>0.77325250572038129</v>
      </c>
      <c r="O309" s="837">
        <f>IF(Indicadores[[#This Row],[Ventas]]=0,0,Indicadores[[#This Row],[EBITDA]]/Indicadores[[#This Row],[Ventas]])</f>
        <v>9.1781850396400896E-2</v>
      </c>
      <c r="P309" s="837">
        <f>IF(Indicadores[[#This Row],[Ventas]]=0,0,Indicadores[[#This Row],[UAI]]/Indicadores[[#This Row],[Ventas]])</f>
        <v>6.7195244890104477E-3</v>
      </c>
      <c r="Q309" s="837">
        <f>IFERROR(Indicadores[[#This Row],[Ventas]]/Indicadores[[#This Row],[Activos totales]],0)</f>
        <v>0.77325250572038129</v>
      </c>
    </row>
    <row r="310" spans="1:17" hidden="1" x14ac:dyDescent="0.35">
      <c r="A310" s="13" t="str">
        <f>MID(Indicadores[[#This Row],[CIIU]],2,4)</f>
        <v>6110</v>
      </c>
      <c r="B310" s="13" t="str">
        <f>Indicadores[[#This Row],[CIIU]]&amp;Indicadores[[#This Row],[Año]]</f>
        <v>J61102016</v>
      </c>
      <c r="C310" s="14" t="s">
        <v>3093</v>
      </c>
      <c r="D310" s="14" t="s">
        <v>3130</v>
      </c>
      <c r="E310" s="848">
        <v>2016</v>
      </c>
      <c r="F310" s="856" t="s">
        <v>3131</v>
      </c>
      <c r="G310" s="858" t="s">
        <v>3132</v>
      </c>
      <c r="H310" s="848" t="s">
        <v>3133</v>
      </c>
      <c r="I310" s="693" t="s">
        <v>3132</v>
      </c>
      <c r="J310" s="847">
        <v>104446188</v>
      </c>
      <c r="K310" s="847">
        <v>177820659</v>
      </c>
      <c r="L310" s="841">
        <v>1662150554</v>
      </c>
      <c r="M310" s="847">
        <v>847151451</v>
      </c>
      <c r="N310" s="839">
        <f>Indicadores[[#This Row],[Ventas]]/Indicadores[[#This Row],[Activos totales]]</f>
        <v>0.50967191206675733</v>
      </c>
      <c r="O310" s="837">
        <f>IF(Indicadores[[#This Row],[Ventas]]=0,0,Indicadores[[#This Row],[EBITDA]]/Indicadores[[#This Row],[Ventas]])</f>
        <v>0.20990421345568822</v>
      </c>
      <c r="P310" s="837">
        <f>IF(Indicadores[[#This Row],[Ventas]]=0,0,Indicadores[[#This Row],[UAI]]/Indicadores[[#This Row],[Ventas]])</f>
        <v>0.12329104539301557</v>
      </c>
      <c r="Q310" s="837">
        <f>IFERROR(Indicadores[[#This Row],[Ventas]]/Indicadores[[#This Row],[Activos totales]],0)</f>
        <v>0.50967191206675733</v>
      </c>
    </row>
    <row r="311" spans="1:17" hidden="1" x14ac:dyDescent="0.35">
      <c r="A311" s="13" t="str">
        <f>MID(Indicadores[[#This Row],[CIIU]],2,4)</f>
        <v>6120</v>
      </c>
      <c r="B311" s="13" t="str">
        <f>Indicadores[[#This Row],[CIIU]]&amp;Indicadores[[#This Row],[Año]]</f>
        <v>J61202016</v>
      </c>
      <c r="C311" s="14" t="s">
        <v>3093</v>
      </c>
      <c r="D311" s="14" t="s">
        <v>3130</v>
      </c>
      <c r="E311" s="848">
        <v>2016</v>
      </c>
      <c r="F311" s="856" t="s">
        <v>3134</v>
      </c>
      <c r="G311" s="858" t="s">
        <v>3135</v>
      </c>
      <c r="H311" s="848" t="s">
        <v>3136</v>
      </c>
      <c r="I311" s="693" t="s">
        <v>3135</v>
      </c>
      <c r="J311" s="847">
        <v>-56440608</v>
      </c>
      <c r="K311" s="847">
        <v>392197370</v>
      </c>
      <c r="L311" s="841">
        <v>3225609487</v>
      </c>
      <c r="M311" s="847">
        <v>3048973090</v>
      </c>
      <c r="N311" s="839">
        <f>Indicadores[[#This Row],[Ventas]]/Indicadores[[#This Row],[Activos totales]]</f>
        <v>0.94523937329925145</v>
      </c>
      <c r="O311" s="837">
        <f>IF(Indicadores[[#This Row],[Ventas]]=0,0,Indicadores[[#This Row],[EBITDA]]/Indicadores[[#This Row],[Ventas]])</f>
        <v>0.12863261118516464</v>
      </c>
      <c r="P311" s="837">
        <f>IF(Indicadores[[#This Row],[Ventas]]=0,0,Indicadores[[#This Row],[UAI]]/Indicadores[[#This Row],[Ventas]])</f>
        <v>-1.8511349996860747E-2</v>
      </c>
      <c r="Q311" s="837">
        <f>IFERROR(Indicadores[[#This Row],[Ventas]]/Indicadores[[#This Row],[Activos totales]],0)</f>
        <v>0.94523937329925145</v>
      </c>
    </row>
    <row r="312" spans="1:17" hidden="1" x14ac:dyDescent="0.35">
      <c r="A312" s="13" t="str">
        <f>MID(Indicadores[[#This Row],[CIIU]],2,4)</f>
        <v>6130</v>
      </c>
      <c r="B312" s="13" t="str">
        <f>Indicadores[[#This Row],[CIIU]]&amp;Indicadores[[#This Row],[Año]]</f>
        <v>J61302016</v>
      </c>
      <c r="C312" s="14" t="s">
        <v>3093</v>
      </c>
      <c r="D312" s="14" t="s">
        <v>3130</v>
      </c>
      <c r="E312" s="848">
        <v>2016</v>
      </c>
      <c r="F312" s="856" t="s">
        <v>3137</v>
      </c>
      <c r="G312" s="858" t="s">
        <v>3138</v>
      </c>
      <c r="H312" s="848" t="s">
        <v>3139</v>
      </c>
      <c r="I312" s="693" t="s">
        <v>3138</v>
      </c>
      <c r="J312" s="847">
        <v>30595261</v>
      </c>
      <c r="K312" s="847">
        <v>160132160</v>
      </c>
      <c r="L312" s="841">
        <v>914330134</v>
      </c>
      <c r="M312" s="847">
        <v>1161209469</v>
      </c>
      <c r="N312" s="839">
        <f>Indicadores[[#This Row],[Ventas]]/Indicadores[[#This Row],[Activos totales]]</f>
        <v>1.2700111544174482</v>
      </c>
      <c r="O312" s="837">
        <f>IF(Indicadores[[#This Row],[Ventas]]=0,0,Indicadores[[#This Row],[EBITDA]]/Indicadores[[#This Row],[Ventas]])</f>
        <v>0.13790118344272648</v>
      </c>
      <c r="P312" s="837">
        <f>IF(Indicadores[[#This Row],[Ventas]]=0,0,Indicadores[[#This Row],[UAI]]/Indicadores[[#This Row],[Ventas]])</f>
        <v>2.634775362824741E-2</v>
      </c>
      <c r="Q312" s="837">
        <f>IFERROR(Indicadores[[#This Row],[Ventas]]/Indicadores[[#This Row],[Activos totales]],0)</f>
        <v>1.2700111544174482</v>
      </c>
    </row>
    <row r="313" spans="1:17" hidden="1" x14ac:dyDescent="0.35">
      <c r="A313" s="13" t="str">
        <f>MID(Indicadores[[#This Row],[CIIU]],2,4)</f>
        <v>6190</v>
      </c>
      <c r="B313" s="13" t="str">
        <f>Indicadores[[#This Row],[CIIU]]&amp;Indicadores[[#This Row],[Año]]</f>
        <v>J61902016</v>
      </c>
      <c r="C313" s="14" t="s">
        <v>3093</v>
      </c>
      <c r="D313" s="14" t="s">
        <v>3130</v>
      </c>
      <c r="E313" s="848">
        <v>2016</v>
      </c>
      <c r="F313" s="856" t="s">
        <v>3140</v>
      </c>
      <c r="G313" s="858" t="s">
        <v>3141</v>
      </c>
      <c r="H313" s="848" t="s">
        <v>3142</v>
      </c>
      <c r="I313" s="693" t="s">
        <v>3141</v>
      </c>
      <c r="J313" s="847">
        <v>-13735478</v>
      </c>
      <c r="K313" s="847">
        <v>142934592</v>
      </c>
      <c r="L313" s="841">
        <v>2958358052</v>
      </c>
      <c r="M313" s="847">
        <v>3815779617</v>
      </c>
      <c r="N313" s="839">
        <f>Indicadores[[#This Row],[Ventas]]/Indicadores[[#This Row],[Activos totales]]</f>
        <v>1.289830219983122</v>
      </c>
      <c r="O313" s="837">
        <f>IF(Indicadores[[#This Row],[Ventas]]=0,0,Indicadores[[#This Row],[EBITDA]]/Indicadores[[#This Row],[Ventas]])</f>
        <v>3.7458817423102767E-2</v>
      </c>
      <c r="P313" s="837">
        <f>IF(Indicadores[[#This Row],[Ventas]]=0,0,Indicadores[[#This Row],[UAI]]/Indicadores[[#This Row],[Ventas]])</f>
        <v>-3.5996518087171281E-3</v>
      </c>
      <c r="Q313" s="837">
        <f>IFERROR(Indicadores[[#This Row],[Ventas]]/Indicadores[[#This Row],[Activos totales]],0)</f>
        <v>1.289830219983122</v>
      </c>
    </row>
    <row r="314" spans="1:17" hidden="1" x14ac:dyDescent="0.35">
      <c r="A314" s="13" t="str">
        <f>MID(Indicadores[[#This Row],[CIIU]],2,4)</f>
        <v>6201</v>
      </c>
      <c r="B314" s="13" t="str">
        <f>Indicadores[[#This Row],[CIIU]]&amp;Indicadores[[#This Row],[Año]]</f>
        <v>J62012016</v>
      </c>
      <c r="C314" s="14" t="s">
        <v>3093</v>
      </c>
      <c r="D314" s="14" t="s">
        <v>3143</v>
      </c>
      <c r="E314" s="848">
        <v>2016</v>
      </c>
      <c r="F314" s="856" t="s">
        <v>3144</v>
      </c>
      <c r="G314" s="858" t="s">
        <v>3145</v>
      </c>
      <c r="H314" s="848" t="s">
        <v>3146</v>
      </c>
      <c r="I314" s="693" t="s">
        <v>3145</v>
      </c>
      <c r="J314" s="847">
        <v>122965445</v>
      </c>
      <c r="K314" s="847">
        <v>176506807</v>
      </c>
      <c r="L314" s="841">
        <v>1462658539</v>
      </c>
      <c r="M314" s="847">
        <v>1730023909</v>
      </c>
      <c r="N314" s="839">
        <f>Indicadores[[#This Row],[Ventas]]/Indicadores[[#This Row],[Activos totales]]</f>
        <v>1.1827941128233483</v>
      </c>
      <c r="O314" s="837">
        <f>IF(Indicadores[[#This Row],[Ventas]]=0,0,Indicadores[[#This Row],[EBITDA]]/Indicadores[[#This Row],[Ventas]])</f>
        <v>0.10202564605134598</v>
      </c>
      <c r="P314" s="837">
        <f>IF(Indicadores[[#This Row],[Ventas]]=0,0,Indicadores[[#This Row],[UAI]]/Indicadores[[#This Row],[Ventas]])</f>
        <v>7.1077309602661676E-2</v>
      </c>
      <c r="Q314" s="837">
        <f>IFERROR(Indicadores[[#This Row],[Ventas]]/Indicadores[[#This Row],[Activos totales]],0)</f>
        <v>1.1827941128233483</v>
      </c>
    </row>
    <row r="315" spans="1:17" hidden="1" x14ac:dyDescent="0.35">
      <c r="A315" s="13" t="str">
        <f>MID(Indicadores[[#This Row],[CIIU]],2,4)</f>
        <v>6202</v>
      </c>
      <c r="B315" s="13" t="str">
        <f>Indicadores[[#This Row],[CIIU]]&amp;Indicadores[[#This Row],[Año]]</f>
        <v>J62022016</v>
      </c>
      <c r="C315" s="14" t="s">
        <v>3093</v>
      </c>
      <c r="D315" s="14" t="s">
        <v>3143</v>
      </c>
      <c r="E315" s="848">
        <v>2016</v>
      </c>
      <c r="F315" s="856" t="s">
        <v>3147</v>
      </c>
      <c r="G315" s="858" t="s">
        <v>3148</v>
      </c>
      <c r="H315" s="848" t="s">
        <v>3149</v>
      </c>
      <c r="I315" s="693" t="s">
        <v>3148</v>
      </c>
      <c r="J315" s="847">
        <v>200172379</v>
      </c>
      <c r="K315" s="847">
        <v>495833719</v>
      </c>
      <c r="L315" s="841">
        <v>4091172383</v>
      </c>
      <c r="M315" s="847">
        <v>5031300194</v>
      </c>
      <c r="N315" s="839">
        <f>Indicadores[[#This Row],[Ventas]]/Indicadores[[#This Row],[Activos totales]]</f>
        <v>1.2297942308435845</v>
      </c>
      <c r="O315" s="837">
        <f>IF(Indicadores[[#This Row],[Ventas]]=0,0,Indicadores[[#This Row],[EBITDA]]/Indicadores[[#This Row],[Ventas]])</f>
        <v>9.8549818114867987E-2</v>
      </c>
      <c r="P315" s="837">
        <f>IF(Indicadores[[#This Row],[Ventas]]=0,0,Indicadores[[#This Row],[UAI]]/Indicadores[[#This Row],[Ventas]])</f>
        <v>3.9785417542509686E-2</v>
      </c>
      <c r="Q315" s="837">
        <f>IFERROR(Indicadores[[#This Row],[Ventas]]/Indicadores[[#This Row],[Activos totales]],0)</f>
        <v>1.2297942308435845</v>
      </c>
    </row>
    <row r="316" spans="1:17" hidden="1" x14ac:dyDescent="0.35">
      <c r="A316" s="13" t="str">
        <f>MID(Indicadores[[#This Row],[CIIU]],2,4)</f>
        <v>6209</v>
      </c>
      <c r="B316" s="13" t="str">
        <f>Indicadores[[#This Row],[CIIU]]&amp;Indicadores[[#This Row],[Año]]</f>
        <v>J62092016</v>
      </c>
      <c r="C316" s="14" t="s">
        <v>3093</v>
      </c>
      <c r="D316" s="14" t="s">
        <v>3143</v>
      </c>
      <c r="E316" s="848">
        <v>2016</v>
      </c>
      <c r="F316" s="856" t="s">
        <v>3150</v>
      </c>
      <c r="G316" s="858" t="s">
        <v>3151</v>
      </c>
      <c r="H316" s="848" t="s">
        <v>3152</v>
      </c>
      <c r="I316" s="693" t="s">
        <v>3151</v>
      </c>
      <c r="J316" s="847">
        <v>-16122196</v>
      </c>
      <c r="K316" s="847">
        <v>34363060</v>
      </c>
      <c r="L316" s="841">
        <v>860120891</v>
      </c>
      <c r="M316" s="847">
        <v>1005107028</v>
      </c>
      <c r="N316" s="839">
        <f>Indicadores[[#This Row],[Ventas]]/Indicadores[[#This Row],[Activos totales]]</f>
        <v>1.1685648360795367</v>
      </c>
      <c r="O316" s="837">
        <f>IF(Indicadores[[#This Row],[Ventas]]=0,0,Indicadores[[#This Row],[EBITDA]]/Indicadores[[#This Row],[Ventas]])</f>
        <v>3.4188458584730942E-2</v>
      </c>
      <c r="P316" s="837">
        <f>IF(Indicadores[[#This Row],[Ventas]]=0,0,Indicadores[[#This Row],[UAI]]/Indicadores[[#This Row],[Ventas]])</f>
        <v>-1.6040277851882657E-2</v>
      </c>
      <c r="Q316" s="837">
        <f>IFERROR(Indicadores[[#This Row],[Ventas]]/Indicadores[[#This Row],[Activos totales]],0)</f>
        <v>1.1685648360795367</v>
      </c>
    </row>
    <row r="317" spans="1:17" hidden="1" x14ac:dyDescent="0.35">
      <c r="A317" s="13" t="str">
        <f>MID(Indicadores[[#This Row],[CIIU]],2,4)</f>
        <v>6311</v>
      </c>
      <c r="B317" s="13" t="str">
        <f>Indicadores[[#This Row],[CIIU]]&amp;Indicadores[[#This Row],[Año]]</f>
        <v>J63112016</v>
      </c>
      <c r="C317" s="14" t="s">
        <v>3093</v>
      </c>
      <c r="D317" s="14" t="s">
        <v>3153</v>
      </c>
      <c r="E317" s="848">
        <v>2016</v>
      </c>
      <c r="F317" s="856" t="s">
        <v>3154</v>
      </c>
      <c r="G317" s="858" t="s">
        <v>3155</v>
      </c>
      <c r="H317" s="848" t="s">
        <v>3156</v>
      </c>
      <c r="I317" s="693" t="s">
        <v>3155</v>
      </c>
      <c r="J317" s="847">
        <v>144806928</v>
      </c>
      <c r="K317" s="847">
        <v>283337945</v>
      </c>
      <c r="L317" s="841">
        <v>2026639851</v>
      </c>
      <c r="M317" s="847">
        <v>1530180589</v>
      </c>
      <c r="N317" s="839">
        <f>Indicadores[[#This Row],[Ventas]]/Indicadores[[#This Row],[Activos totales]]</f>
        <v>0.75503330709941718</v>
      </c>
      <c r="O317" s="837">
        <f>IF(Indicadores[[#This Row],[Ventas]]=0,0,Indicadores[[#This Row],[EBITDA]]/Indicadores[[#This Row],[Ventas]])</f>
        <v>0.18516634378767433</v>
      </c>
      <c r="P317" s="837">
        <f>IF(Indicadores[[#This Row],[Ventas]]=0,0,Indicadores[[#This Row],[UAI]]/Indicadores[[#This Row],[Ventas]])</f>
        <v>9.4633881151657981E-2</v>
      </c>
      <c r="Q317" s="837">
        <f>IFERROR(Indicadores[[#This Row],[Ventas]]/Indicadores[[#This Row],[Activos totales]],0)</f>
        <v>0.75503330709941718</v>
      </c>
    </row>
    <row r="318" spans="1:17" hidden="1" x14ac:dyDescent="0.35">
      <c r="A318" s="13" t="str">
        <f>MID(Indicadores[[#This Row],[CIIU]],2,4)</f>
        <v>6312</v>
      </c>
      <c r="B318" s="13" t="str">
        <f>Indicadores[[#This Row],[CIIU]]&amp;Indicadores[[#This Row],[Año]]</f>
        <v>J63122016</v>
      </c>
      <c r="C318" s="14" t="s">
        <v>3093</v>
      </c>
      <c r="D318" s="14" t="s">
        <v>3153</v>
      </c>
      <c r="E318" s="848">
        <v>2016</v>
      </c>
      <c r="F318" s="856" t="s">
        <v>3157</v>
      </c>
      <c r="G318" s="857" t="s">
        <v>3158</v>
      </c>
      <c r="H318" s="848" t="s">
        <v>3159</v>
      </c>
      <c r="I318" s="693" t="s">
        <v>3158</v>
      </c>
      <c r="J318" s="847">
        <v>-2685838</v>
      </c>
      <c r="K318" s="847">
        <v>-1786377</v>
      </c>
      <c r="L318" s="841">
        <v>17716867</v>
      </c>
      <c r="M318" s="847">
        <v>23693994</v>
      </c>
      <c r="N318" s="839">
        <f>Indicadores[[#This Row],[Ventas]]/Indicadores[[#This Row],[Activos totales]]</f>
        <v>1.3373692989849728</v>
      </c>
      <c r="O318" s="837">
        <f>IF(Indicadores[[#This Row],[Ventas]]=0,0,Indicadores[[#This Row],[EBITDA]]/Indicadores[[#This Row],[Ventas]])</f>
        <v>-7.5393663052333013E-2</v>
      </c>
      <c r="P318" s="837">
        <f>IF(Indicadores[[#This Row],[Ventas]]=0,0,Indicadores[[#This Row],[UAI]]/Indicadores[[#This Row],[Ventas]])</f>
        <v>-0.11335522411291232</v>
      </c>
      <c r="Q318" s="837">
        <f>IFERROR(Indicadores[[#This Row],[Ventas]]/Indicadores[[#This Row],[Activos totales]],0)</f>
        <v>1.3373692989849728</v>
      </c>
    </row>
    <row r="319" spans="1:17" hidden="1" x14ac:dyDescent="0.35">
      <c r="A319" s="13" t="str">
        <f>MID(Indicadores[[#This Row],[CIIU]],2,4)</f>
        <v>6391</v>
      </c>
      <c r="B319" s="13" t="str">
        <f>Indicadores[[#This Row],[CIIU]]&amp;Indicadores[[#This Row],[Año]]</f>
        <v>J63912016</v>
      </c>
      <c r="C319" s="14" t="s">
        <v>3093</v>
      </c>
      <c r="D319" s="14" t="s">
        <v>3153</v>
      </c>
      <c r="E319" s="848">
        <v>2016</v>
      </c>
      <c r="F319" s="856" t="s">
        <v>3160</v>
      </c>
      <c r="G319" s="858" t="s">
        <v>3161</v>
      </c>
      <c r="H319" s="848" t="s">
        <v>3162</v>
      </c>
      <c r="I319" s="693" t="s">
        <v>3161</v>
      </c>
      <c r="J319" s="847">
        <v>-1950870</v>
      </c>
      <c r="K319" s="847">
        <v>-2142501</v>
      </c>
      <c r="L319" s="841">
        <v>68651179</v>
      </c>
      <c r="M319" s="847">
        <v>25613817</v>
      </c>
      <c r="N319" s="839">
        <f>Indicadores[[#This Row],[Ventas]]/Indicadores[[#This Row],[Activos totales]]</f>
        <v>0.37310090479290969</v>
      </c>
      <c r="O319" s="837">
        <f>IF(Indicadores[[#This Row],[Ventas]]=0,0,Indicadores[[#This Row],[EBITDA]]/Indicadores[[#This Row],[Ventas]])</f>
        <v>-8.3646299182976128E-2</v>
      </c>
      <c r="P319" s="837">
        <f>IF(Indicadores[[#This Row],[Ventas]]=0,0,Indicadores[[#This Row],[UAI]]/Indicadores[[#This Row],[Ventas]])</f>
        <v>-7.616475123563192E-2</v>
      </c>
      <c r="Q319" s="837">
        <f>IFERROR(Indicadores[[#This Row],[Ventas]]/Indicadores[[#This Row],[Activos totales]],0)</f>
        <v>0.37310090479290969</v>
      </c>
    </row>
    <row r="320" spans="1:17" hidden="1" x14ac:dyDescent="0.35">
      <c r="A320" s="13" t="str">
        <f>MID(Indicadores[[#This Row],[CIIU]],2,4)</f>
        <v>6399</v>
      </c>
      <c r="B320" s="13" t="str">
        <f>Indicadores[[#This Row],[CIIU]]&amp;Indicadores[[#This Row],[Año]]</f>
        <v>J63992016</v>
      </c>
      <c r="C320" s="14" t="s">
        <v>3093</v>
      </c>
      <c r="D320" s="14" t="s">
        <v>3153</v>
      </c>
      <c r="E320" s="848">
        <v>2016</v>
      </c>
      <c r="F320" s="856" t="s">
        <v>3163</v>
      </c>
      <c r="G320" s="858" t="s">
        <v>3164</v>
      </c>
      <c r="H320" s="848" t="s">
        <v>3165</v>
      </c>
      <c r="I320" s="693" t="s">
        <v>3164</v>
      </c>
      <c r="J320" s="847">
        <v>60343355</v>
      </c>
      <c r="K320" s="847">
        <v>74740479</v>
      </c>
      <c r="L320" s="841">
        <v>1025342272</v>
      </c>
      <c r="M320" s="847">
        <v>315492704</v>
      </c>
      <c r="N320" s="839">
        <f>Indicadores[[#This Row],[Ventas]]/Indicadores[[#This Row],[Activos totales]]</f>
        <v>0.30769501328040438</v>
      </c>
      <c r="O320" s="837">
        <f>IF(Indicadores[[#This Row],[Ventas]]=0,0,Indicadores[[#This Row],[EBITDA]]/Indicadores[[#This Row],[Ventas]])</f>
        <v>0.23690081593772769</v>
      </c>
      <c r="P320" s="837">
        <f>IF(Indicadores[[#This Row],[Ventas]]=0,0,Indicadores[[#This Row],[UAI]]/Indicadores[[#This Row],[Ventas]])</f>
        <v>0.19126703798513198</v>
      </c>
      <c r="Q320" s="837">
        <f>IFERROR(Indicadores[[#This Row],[Ventas]]/Indicadores[[#This Row],[Activos totales]],0)</f>
        <v>0.30769501328040438</v>
      </c>
    </row>
    <row r="321" spans="1:17" hidden="1" x14ac:dyDescent="0.35">
      <c r="A321" s="13" t="str">
        <f>MID(Indicadores[[#This Row],[CIIU]],2,4)</f>
        <v>6412</v>
      </c>
      <c r="B321" s="13" t="str">
        <f>Indicadores[[#This Row],[CIIU]]&amp;Indicadores[[#This Row],[Año]]</f>
        <v>K64122016</v>
      </c>
      <c r="C321" s="14" t="s">
        <v>3166</v>
      </c>
      <c r="D321" s="14" t="s">
        <v>3167</v>
      </c>
      <c r="E321" s="848">
        <v>2016</v>
      </c>
      <c r="F321" s="856" t="s">
        <v>3168</v>
      </c>
      <c r="G321" s="857" t="e">
        <v>#N/A</v>
      </c>
      <c r="H321" s="848" t="s">
        <v>3169</v>
      </c>
      <c r="I321" s="693" t="s">
        <v>3170</v>
      </c>
      <c r="J321" s="847">
        <v>536463</v>
      </c>
      <c r="K321" s="847">
        <v>880248</v>
      </c>
      <c r="L321" s="841">
        <v>8793765</v>
      </c>
      <c r="M321" s="847">
        <v>18221169</v>
      </c>
      <c r="N321" s="839">
        <f>Indicadores[[#This Row],[Ventas]]/Indicadores[[#This Row],[Activos totales]]</f>
        <v>2.0720554847667638</v>
      </c>
      <c r="O321" s="837">
        <f>IF(Indicadores[[#This Row],[Ventas]]=0,0,Indicadores[[#This Row],[EBITDA]]/Indicadores[[#This Row],[Ventas]])</f>
        <v>4.8309084889119905E-2</v>
      </c>
      <c r="P321" s="837">
        <f>IF(Indicadores[[#This Row],[Ventas]]=0,0,Indicadores[[#This Row],[UAI]]/Indicadores[[#This Row],[Ventas]])</f>
        <v>2.944174437984742E-2</v>
      </c>
      <c r="Q321" s="837">
        <f>IFERROR(Indicadores[[#This Row],[Ventas]]/Indicadores[[#This Row],[Activos totales]],0)</f>
        <v>2.0720554847667638</v>
      </c>
    </row>
    <row r="322" spans="1:17" hidden="1" x14ac:dyDescent="0.35">
      <c r="A322" s="13" t="str">
        <f>MID(Indicadores[[#This Row],[CIIU]],2,4)</f>
        <v>6421</v>
      </c>
      <c r="B322" s="13" t="str">
        <f>Indicadores[[#This Row],[CIIU]]&amp;Indicadores[[#This Row],[Año]]</f>
        <v>K64212016</v>
      </c>
      <c r="C322" s="14" t="s">
        <v>3166</v>
      </c>
      <c r="D322" s="14" t="s">
        <v>3167</v>
      </c>
      <c r="E322" s="848">
        <v>2016</v>
      </c>
      <c r="F322" s="856" t="s">
        <v>3171</v>
      </c>
      <c r="G322" s="858" t="s">
        <v>3172</v>
      </c>
      <c r="H322" s="848" t="s">
        <v>3173</v>
      </c>
      <c r="I322" s="693" t="s">
        <v>3172</v>
      </c>
      <c r="J322" s="847">
        <v>-8995019</v>
      </c>
      <c r="K322" s="847">
        <v>11522513</v>
      </c>
      <c r="L322" s="841">
        <v>890339133</v>
      </c>
      <c r="M322" s="847">
        <v>35350061</v>
      </c>
      <c r="N322" s="839">
        <f>Indicadores[[#This Row],[Ventas]]/Indicadores[[#This Row],[Activos totales]]</f>
        <v>3.9704040505203764E-2</v>
      </c>
      <c r="O322" s="837">
        <f>IF(Indicadores[[#This Row],[Ventas]]=0,0,Indicadores[[#This Row],[EBITDA]]/Indicadores[[#This Row],[Ventas]])</f>
        <v>0.32595454361450749</v>
      </c>
      <c r="P322" s="837">
        <f>IF(Indicadores[[#This Row],[Ventas]]=0,0,Indicadores[[#This Row],[UAI]]/Indicadores[[#This Row],[Ventas]])</f>
        <v>-0.25445554393809955</v>
      </c>
      <c r="Q322" s="837">
        <f>IFERROR(Indicadores[[#This Row],[Ventas]]/Indicadores[[#This Row],[Activos totales]],0)</f>
        <v>3.9704040505203764E-2</v>
      </c>
    </row>
    <row r="323" spans="1:17" hidden="1" x14ac:dyDescent="0.35">
      <c r="A323" s="13" t="str">
        <f>MID(Indicadores[[#This Row],[CIIU]],2,4)</f>
        <v>6422</v>
      </c>
      <c r="B323" s="13" t="str">
        <f>Indicadores[[#This Row],[CIIU]]&amp;Indicadores[[#This Row],[Año]]</f>
        <v>K64222016</v>
      </c>
      <c r="C323" s="14" t="s">
        <v>3166</v>
      </c>
      <c r="D323" s="14" t="s">
        <v>3167</v>
      </c>
      <c r="E323" s="848">
        <v>2016</v>
      </c>
      <c r="F323" s="856" t="s">
        <v>3174</v>
      </c>
      <c r="G323" s="857" t="s">
        <v>3175</v>
      </c>
      <c r="H323" s="848" t="s">
        <v>3176</v>
      </c>
      <c r="I323" s="693" t="s">
        <v>3175</v>
      </c>
      <c r="J323" s="847">
        <v>232164</v>
      </c>
      <c r="K323" s="847">
        <v>443281</v>
      </c>
      <c r="L323" s="841">
        <v>6981640</v>
      </c>
      <c r="M323" s="847">
        <v>2266143</v>
      </c>
      <c r="N323" s="839">
        <f>Indicadores[[#This Row],[Ventas]]/Indicadores[[#This Row],[Activos totales]]</f>
        <v>0.32458605714416672</v>
      </c>
      <c r="O323" s="837">
        <f>IF(Indicadores[[#This Row],[Ventas]]=0,0,Indicadores[[#This Row],[EBITDA]]/Indicadores[[#This Row],[Ventas]])</f>
        <v>0.19561033880033166</v>
      </c>
      <c r="P323" s="837">
        <f>IF(Indicadores[[#This Row],[Ventas]]=0,0,Indicadores[[#This Row],[UAI]]/Indicadores[[#This Row],[Ventas]])</f>
        <v>0.10244896284126818</v>
      </c>
      <c r="Q323" s="837">
        <f>IFERROR(Indicadores[[#This Row],[Ventas]]/Indicadores[[#This Row],[Activos totales]],0)</f>
        <v>0.32458605714416672</v>
      </c>
    </row>
    <row r="324" spans="1:17" hidden="1" x14ac:dyDescent="0.35">
      <c r="A324" s="13" t="str">
        <f>MID(Indicadores[[#This Row],[CIIU]],2,4)</f>
        <v>6423</v>
      </c>
      <c r="B324" s="13" t="str">
        <f>Indicadores[[#This Row],[CIIU]]&amp;Indicadores[[#This Row],[Año]]</f>
        <v>K64232016</v>
      </c>
      <c r="C324" s="14" t="s">
        <v>3166</v>
      </c>
      <c r="D324" s="14" t="s">
        <v>3167</v>
      </c>
      <c r="E324" s="848">
        <v>2016</v>
      </c>
      <c r="F324" s="856" t="s">
        <v>3177</v>
      </c>
      <c r="G324" s="857" t="e">
        <v>#N/A</v>
      </c>
      <c r="H324" s="848" t="s">
        <v>3178</v>
      </c>
      <c r="I324" s="693" t="s">
        <v>3179</v>
      </c>
      <c r="J324" s="847">
        <v>1369279</v>
      </c>
      <c r="K324" s="847">
        <v>1369279</v>
      </c>
      <c r="L324" s="841">
        <v>16190047</v>
      </c>
      <c r="M324" s="847">
        <v>688276</v>
      </c>
      <c r="N324" s="839">
        <f>Indicadores[[#This Row],[Ventas]]/Indicadores[[#This Row],[Activos totales]]</f>
        <v>4.2512291656719714E-2</v>
      </c>
      <c r="O324" s="837">
        <f>IF(Indicadores[[#This Row],[Ventas]]=0,0,Indicadores[[#This Row],[EBITDA]]/Indicadores[[#This Row],[Ventas]])</f>
        <v>1.9894330181496958</v>
      </c>
      <c r="P324" s="837">
        <f>IF(Indicadores[[#This Row],[Ventas]]=0,0,Indicadores[[#This Row],[UAI]]/Indicadores[[#This Row],[Ventas]])</f>
        <v>1.9894330181496958</v>
      </c>
      <c r="Q324" s="837">
        <f>IFERROR(Indicadores[[#This Row],[Ventas]]/Indicadores[[#This Row],[Activos totales]],0)</f>
        <v>4.2512291656719714E-2</v>
      </c>
    </row>
    <row r="325" spans="1:17" hidden="1" x14ac:dyDescent="0.35">
      <c r="A325" s="13" t="str">
        <f>MID(Indicadores[[#This Row],[CIIU]],2,4)</f>
        <v>6424</v>
      </c>
      <c r="B325" s="13" t="str">
        <f>Indicadores[[#This Row],[CIIU]]&amp;Indicadores[[#This Row],[Año]]</f>
        <v>K64242016</v>
      </c>
      <c r="C325" s="14" t="s">
        <v>3166</v>
      </c>
      <c r="D325" s="14" t="s">
        <v>3167</v>
      </c>
      <c r="E325" s="848">
        <v>2016</v>
      </c>
      <c r="F325" s="856" t="s">
        <v>3180</v>
      </c>
      <c r="G325" s="858" t="s">
        <v>3181</v>
      </c>
      <c r="H325" s="848" t="s">
        <v>3182</v>
      </c>
      <c r="I325" s="693" t="s">
        <v>3181</v>
      </c>
      <c r="J325" s="847">
        <v>-2379785</v>
      </c>
      <c r="K325" s="847">
        <v>-348462</v>
      </c>
      <c r="L325" s="841">
        <v>42230116</v>
      </c>
      <c r="M325" s="847">
        <v>112969</v>
      </c>
      <c r="N325" s="839">
        <f>Indicadores[[#This Row],[Ventas]]/Indicadores[[#This Row],[Activos totales]]</f>
        <v>2.6750814513509741E-3</v>
      </c>
      <c r="O325" s="837">
        <f>IF(Indicadores[[#This Row],[Ventas]]=0,0,Indicadores[[#This Row],[EBITDA]]/Indicadores[[#This Row],[Ventas]])</f>
        <v>-3.0845807256858078</v>
      </c>
      <c r="P325" s="837">
        <f>IF(Indicadores[[#This Row],[Ventas]]=0,0,Indicadores[[#This Row],[UAI]]/Indicadores[[#This Row],[Ventas]])</f>
        <v>-21.065823367472493</v>
      </c>
      <c r="Q325" s="837">
        <f>IFERROR(Indicadores[[#This Row],[Ventas]]/Indicadores[[#This Row],[Activos totales]],0)</f>
        <v>2.6750814513509741E-3</v>
      </c>
    </row>
    <row r="326" spans="1:17" hidden="1" x14ac:dyDescent="0.35">
      <c r="A326" s="13" t="str">
        <f>MID(Indicadores[[#This Row],[CIIU]],2,4)</f>
        <v>6431</v>
      </c>
      <c r="B326" s="13" t="str">
        <f>Indicadores[[#This Row],[CIIU]]&amp;Indicadores[[#This Row],[Año]]</f>
        <v>K64312016</v>
      </c>
      <c r="C326" s="14" t="s">
        <v>3166</v>
      </c>
      <c r="D326" s="14" t="s">
        <v>3167</v>
      </c>
      <c r="E326" s="848">
        <v>2016</v>
      </c>
      <c r="F326" s="856" t="s">
        <v>3183</v>
      </c>
      <c r="G326" s="857" t="s">
        <v>3184</v>
      </c>
      <c r="H326" s="848" t="s">
        <v>3185</v>
      </c>
      <c r="I326" s="693" t="s">
        <v>3184</v>
      </c>
      <c r="J326" s="847">
        <v>1082042</v>
      </c>
      <c r="K326" s="847">
        <v>1207201</v>
      </c>
      <c r="L326" s="841">
        <v>31861081</v>
      </c>
      <c r="M326" s="847">
        <v>1976050</v>
      </c>
      <c r="N326" s="839">
        <f>Indicadores[[#This Row],[Ventas]]/Indicadores[[#This Row],[Activos totales]]</f>
        <v>6.2020808396300177E-2</v>
      </c>
      <c r="O326" s="837">
        <f>IF(Indicadores[[#This Row],[Ventas]]=0,0,Indicadores[[#This Row],[EBITDA]]/Indicadores[[#This Row],[Ventas]])</f>
        <v>0.6109162217555224</v>
      </c>
      <c r="P326" s="837">
        <f>IF(Indicadores[[#This Row],[Ventas]]=0,0,Indicadores[[#This Row],[UAI]]/Indicadores[[#This Row],[Ventas]])</f>
        <v>0.54757824953822021</v>
      </c>
      <c r="Q326" s="837">
        <f>IFERROR(Indicadores[[#This Row],[Ventas]]/Indicadores[[#This Row],[Activos totales]],0)</f>
        <v>6.2020808396300177E-2</v>
      </c>
    </row>
    <row r="327" spans="1:17" hidden="1" x14ac:dyDescent="0.35">
      <c r="A327" s="13" t="str">
        <f>MID(Indicadores[[#This Row],[CIIU]],2,4)</f>
        <v>6492</v>
      </c>
      <c r="B327" s="13" t="str">
        <f>Indicadores[[#This Row],[CIIU]]&amp;Indicadores[[#This Row],[Año]]</f>
        <v>K64922016</v>
      </c>
      <c r="C327" s="14" t="s">
        <v>3166</v>
      </c>
      <c r="D327" s="14" t="s">
        <v>3167</v>
      </c>
      <c r="E327" s="848">
        <v>2016</v>
      </c>
      <c r="F327" s="856" t="s">
        <v>3186</v>
      </c>
      <c r="G327" s="857" t="e">
        <v>#N/A</v>
      </c>
      <c r="H327" s="848" t="s">
        <v>3187</v>
      </c>
      <c r="I327" s="693" t="s">
        <v>3188</v>
      </c>
      <c r="J327" s="847">
        <v>81717</v>
      </c>
      <c r="K327" s="847">
        <v>81717</v>
      </c>
      <c r="L327" s="841">
        <v>10848611</v>
      </c>
      <c r="M327" s="847">
        <v>1510366</v>
      </c>
      <c r="N327" s="839">
        <f>Indicadores[[#This Row],[Ventas]]/Indicadores[[#This Row],[Activos totales]]</f>
        <v>0.13922206262165729</v>
      </c>
      <c r="O327" s="837">
        <f>IF(Indicadores[[#This Row],[Ventas]]=0,0,Indicadores[[#This Row],[EBITDA]]/Indicadores[[#This Row],[Ventas]])</f>
        <v>5.4104104568031858E-2</v>
      </c>
      <c r="P327" s="837">
        <f>IF(Indicadores[[#This Row],[Ventas]]=0,0,Indicadores[[#This Row],[UAI]]/Indicadores[[#This Row],[Ventas]])</f>
        <v>5.4104104568031858E-2</v>
      </c>
      <c r="Q327" s="837">
        <f>IFERROR(Indicadores[[#This Row],[Ventas]]/Indicadores[[#This Row],[Activos totales]],0)</f>
        <v>0.13922206262165729</v>
      </c>
    </row>
    <row r="328" spans="1:17" hidden="1" x14ac:dyDescent="0.35">
      <c r="A328" s="13" t="str">
        <f>MID(Indicadores[[#This Row],[CIIU]],2,4)</f>
        <v>6493</v>
      </c>
      <c r="B328" s="13" t="str">
        <f>Indicadores[[#This Row],[CIIU]]&amp;Indicadores[[#This Row],[Año]]</f>
        <v>K64932016</v>
      </c>
      <c r="C328" s="14" t="s">
        <v>3166</v>
      </c>
      <c r="D328" s="14" t="s">
        <v>3167</v>
      </c>
      <c r="E328" s="848">
        <v>2016</v>
      </c>
      <c r="F328" s="856" t="s">
        <v>3189</v>
      </c>
      <c r="G328" s="858" t="s">
        <v>3190</v>
      </c>
      <c r="H328" s="848" t="s">
        <v>3191</v>
      </c>
      <c r="I328" s="693" t="s">
        <v>3190</v>
      </c>
      <c r="J328" s="847">
        <v>23774020</v>
      </c>
      <c r="K328" s="847">
        <v>49455786</v>
      </c>
      <c r="L328" s="841">
        <v>2439305912</v>
      </c>
      <c r="M328" s="847">
        <v>370537505</v>
      </c>
      <c r="N328" s="839">
        <f>Indicadores[[#This Row],[Ventas]]/Indicadores[[#This Row],[Activos totales]]</f>
        <v>0.15190284382830618</v>
      </c>
      <c r="O328" s="837">
        <f>IF(Indicadores[[#This Row],[Ventas]]=0,0,Indicadores[[#This Row],[EBITDA]]/Indicadores[[#This Row],[Ventas]])</f>
        <v>0.13347039188381213</v>
      </c>
      <c r="P328" s="837">
        <f>IF(Indicadores[[#This Row],[Ventas]]=0,0,Indicadores[[#This Row],[UAI]]/Indicadores[[#This Row],[Ventas]])</f>
        <v>6.4160900527464829E-2</v>
      </c>
      <c r="Q328" s="837">
        <f>IFERROR(Indicadores[[#This Row],[Ventas]]/Indicadores[[#This Row],[Activos totales]],0)</f>
        <v>0.15190284382830618</v>
      </c>
    </row>
    <row r="329" spans="1:17" hidden="1" x14ac:dyDescent="0.35">
      <c r="A329" s="13" t="str">
        <f>MID(Indicadores[[#This Row],[CIIU]],2,4)</f>
        <v>6494</v>
      </c>
      <c r="B329" s="13" t="str">
        <f>Indicadores[[#This Row],[CIIU]]&amp;Indicadores[[#This Row],[Año]]</f>
        <v>K64942016</v>
      </c>
      <c r="C329" s="14" t="s">
        <v>3166</v>
      </c>
      <c r="D329" s="14" t="s">
        <v>3167</v>
      </c>
      <c r="E329" s="848">
        <v>2016</v>
      </c>
      <c r="F329" s="856" t="s">
        <v>3192</v>
      </c>
      <c r="G329" s="858" t="s">
        <v>3193</v>
      </c>
      <c r="H329" s="848" t="s">
        <v>3194</v>
      </c>
      <c r="I329" s="693" t="s">
        <v>3193</v>
      </c>
      <c r="J329" s="847">
        <v>1814349615</v>
      </c>
      <c r="K329" s="847">
        <v>1098356928</v>
      </c>
      <c r="L329" s="841">
        <v>52634105271</v>
      </c>
      <c r="M329" s="847">
        <v>1545873119</v>
      </c>
      <c r="N329" s="839">
        <f>Indicadores[[#This Row],[Ventas]]/Indicadores[[#This Row],[Activos totales]]</f>
        <v>2.9370179488008418E-2</v>
      </c>
      <c r="O329" s="837">
        <f>IF(Indicadores[[#This Row],[Ventas]]=0,0,Indicadores[[#This Row],[EBITDA]]/Indicadores[[#This Row],[Ventas]])</f>
        <v>0.71050910614870455</v>
      </c>
      <c r="P329" s="837">
        <f>IF(Indicadores[[#This Row],[Ventas]]=0,0,Indicadores[[#This Row],[UAI]]/Indicadores[[#This Row],[Ventas]])</f>
        <v>1.1736730477425426</v>
      </c>
      <c r="Q329" s="837">
        <f>IFERROR(Indicadores[[#This Row],[Ventas]]/Indicadores[[#This Row],[Activos totales]],0)</f>
        <v>2.9370179488008418E-2</v>
      </c>
    </row>
    <row r="330" spans="1:17" hidden="1" x14ac:dyDescent="0.35">
      <c r="A330" s="13" t="str">
        <f>MID(Indicadores[[#This Row],[CIIU]],2,4)</f>
        <v>6495</v>
      </c>
      <c r="B330" s="13" t="str">
        <f>Indicadores[[#This Row],[CIIU]]&amp;Indicadores[[#This Row],[Año]]</f>
        <v>K64952016</v>
      </c>
      <c r="C330" s="14" t="s">
        <v>3166</v>
      </c>
      <c r="D330" s="14" t="s">
        <v>3167</v>
      </c>
      <c r="E330" s="848">
        <v>2016</v>
      </c>
      <c r="F330" s="856" t="s">
        <v>3195</v>
      </c>
      <c r="G330" s="857" t="s">
        <v>3196</v>
      </c>
      <c r="H330" s="848" t="s">
        <v>3197</v>
      </c>
      <c r="I330" s="693" t="s">
        <v>3196</v>
      </c>
      <c r="J330" s="847">
        <v>-1593601</v>
      </c>
      <c r="K330" s="847">
        <v>4629906</v>
      </c>
      <c r="L330" s="841">
        <v>95586810</v>
      </c>
      <c r="M330" s="847">
        <v>9654501</v>
      </c>
      <c r="N330" s="839">
        <f>Indicadores[[#This Row],[Ventas]]/Indicadores[[#This Row],[Activos totales]]</f>
        <v>0.10100243956252961</v>
      </c>
      <c r="O330" s="837">
        <f>IF(Indicadores[[#This Row],[Ventas]]=0,0,Indicadores[[#This Row],[EBITDA]]/Indicadores[[#This Row],[Ventas]])</f>
        <v>0.47955932678447077</v>
      </c>
      <c r="P330" s="837">
        <f>IF(Indicadores[[#This Row],[Ventas]]=0,0,Indicadores[[#This Row],[UAI]]/Indicadores[[#This Row],[Ventas]])</f>
        <v>-0.16506301050670563</v>
      </c>
      <c r="Q330" s="837">
        <f>IFERROR(Indicadores[[#This Row],[Ventas]]/Indicadores[[#This Row],[Activos totales]],0)</f>
        <v>0.10100243956252961</v>
      </c>
    </row>
    <row r="331" spans="1:17" hidden="1" x14ac:dyDescent="0.35">
      <c r="A331" s="13" t="str">
        <f>MID(Indicadores[[#This Row],[CIIU]],2,4)</f>
        <v>6499</v>
      </c>
      <c r="B331" s="13" t="str">
        <f>Indicadores[[#This Row],[CIIU]]&amp;Indicadores[[#This Row],[Año]]</f>
        <v>K64992016</v>
      </c>
      <c r="C331" s="14" t="s">
        <v>3166</v>
      </c>
      <c r="D331" s="14" t="s">
        <v>3167</v>
      </c>
      <c r="E331" s="848">
        <v>2016</v>
      </c>
      <c r="F331" s="856" t="s">
        <v>3198</v>
      </c>
      <c r="G331" s="858" t="s">
        <v>3199</v>
      </c>
      <c r="H331" s="848" t="s">
        <v>3200</v>
      </c>
      <c r="I331" s="693" t="s">
        <v>3199</v>
      </c>
      <c r="J331" s="847">
        <v>2294576193</v>
      </c>
      <c r="K331" s="847">
        <v>2312684816</v>
      </c>
      <c r="L331" s="841">
        <v>26957113001</v>
      </c>
      <c r="M331" s="847">
        <v>2848817242</v>
      </c>
      <c r="N331" s="839">
        <f>Indicadores[[#This Row],[Ventas]]/Indicadores[[#This Row],[Activos totales]]</f>
        <v>0.10567961197826786</v>
      </c>
      <c r="O331" s="837">
        <f>IF(Indicadores[[#This Row],[Ventas]]=0,0,Indicadores[[#This Row],[EBITDA]]/Indicadores[[#This Row],[Ventas]])</f>
        <v>0.81180525795202974</v>
      </c>
      <c r="P331" s="837">
        <f>IF(Indicadores[[#This Row],[Ventas]]=0,0,Indicadores[[#This Row],[UAI]]/Indicadores[[#This Row],[Ventas]])</f>
        <v>0.80544871716274169</v>
      </c>
      <c r="Q331" s="837">
        <f>IFERROR(Indicadores[[#This Row],[Ventas]]/Indicadores[[#This Row],[Activos totales]],0)</f>
        <v>0.10567961197826786</v>
      </c>
    </row>
    <row r="332" spans="1:17" hidden="1" x14ac:dyDescent="0.35">
      <c r="A332" s="13" t="str">
        <f>MID(Indicadores[[#This Row],[CIIU]],2,4)</f>
        <v>6511</v>
      </c>
      <c r="B332" s="13" t="str">
        <f>Indicadores[[#This Row],[CIIU]]&amp;Indicadores[[#This Row],[Año]]</f>
        <v>K65112016</v>
      </c>
      <c r="C332" s="14" t="s">
        <v>3166</v>
      </c>
      <c r="D332" s="14" t="s">
        <v>3201</v>
      </c>
      <c r="E332" s="848">
        <v>2016</v>
      </c>
      <c r="F332" s="856" t="s">
        <v>3202</v>
      </c>
      <c r="G332" s="857" t="s">
        <v>3203</v>
      </c>
      <c r="H332" s="848" t="s">
        <v>3204</v>
      </c>
      <c r="I332" s="693" t="s">
        <v>3205</v>
      </c>
      <c r="J332" s="847">
        <v>427451</v>
      </c>
      <c r="K332" s="847">
        <v>538890</v>
      </c>
      <c r="L332" s="841">
        <v>13907640</v>
      </c>
      <c r="M332" s="847">
        <v>1977238</v>
      </c>
      <c r="N332" s="839">
        <f>Indicadores[[#This Row],[Ventas]]/Indicadores[[#This Row],[Activos totales]]</f>
        <v>0.14216919621157867</v>
      </c>
      <c r="O332" s="837">
        <f>IF(Indicadores[[#This Row],[Ventas]]=0,0,Indicadores[[#This Row],[EBITDA]]/Indicadores[[#This Row],[Ventas]])</f>
        <v>0.27254685576546678</v>
      </c>
      <c r="P332" s="837">
        <f>IF(Indicadores[[#This Row],[Ventas]]=0,0,Indicadores[[#This Row],[UAI]]/Indicadores[[#This Row],[Ventas]])</f>
        <v>0.21618591186291181</v>
      </c>
      <c r="Q332" s="837">
        <f>IFERROR(Indicadores[[#This Row],[Ventas]]/Indicadores[[#This Row],[Activos totales]],0)</f>
        <v>0.14216919621157867</v>
      </c>
    </row>
    <row r="333" spans="1:17" hidden="1" x14ac:dyDescent="0.35">
      <c r="A333" s="13" t="str">
        <f>MID(Indicadores[[#This Row],[CIIU]],2,4)</f>
        <v>6514</v>
      </c>
      <c r="B333" s="13" t="str">
        <f>Indicadores[[#This Row],[CIIU]]&amp;Indicadores[[#This Row],[Año]]</f>
        <v>K65142016</v>
      </c>
      <c r="C333" s="14" t="s">
        <v>3166</v>
      </c>
      <c r="D333" s="14" t="s">
        <v>3201</v>
      </c>
      <c r="E333" s="848">
        <v>2016</v>
      </c>
      <c r="F333" s="856" t="s">
        <v>3206</v>
      </c>
      <c r="G333" s="858" t="s">
        <v>3207</v>
      </c>
      <c r="H333" s="848" t="s">
        <v>3208</v>
      </c>
      <c r="I333" s="693" t="s">
        <v>3207</v>
      </c>
      <c r="J333" s="847">
        <v>-1704152</v>
      </c>
      <c r="K333" s="847">
        <v>-721018</v>
      </c>
      <c r="L333" s="841">
        <v>183027246</v>
      </c>
      <c r="M333" s="847">
        <v>12852261</v>
      </c>
      <c r="N333" s="839">
        <f>Indicadores[[#This Row],[Ventas]]/Indicadores[[#This Row],[Activos totales]]</f>
        <v>7.0220479632852037E-2</v>
      </c>
      <c r="O333" s="837">
        <f>IF(Indicadores[[#This Row],[Ventas]]=0,0,Indicadores[[#This Row],[EBITDA]]/Indicadores[[#This Row],[Ventas]])</f>
        <v>-5.6100479129703326E-2</v>
      </c>
      <c r="P333" s="837">
        <f>IF(Indicadores[[#This Row],[Ventas]]=0,0,Indicadores[[#This Row],[UAI]]/Indicadores[[#This Row],[Ventas]])</f>
        <v>-0.13259550206769066</v>
      </c>
      <c r="Q333" s="837">
        <f>IFERROR(Indicadores[[#This Row],[Ventas]]/Indicadores[[#This Row],[Activos totales]],0)</f>
        <v>7.0220479632852037E-2</v>
      </c>
    </row>
    <row r="334" spans="1:17" hidden="1" x14ac:dyDescent="0.35">
      <c r="A334" s="13" t="str">
        <f>MID(Indicadores[[#This Row],[CIIU]],2,4)</f>
        <v>6521</v>
      </c>
      <c r="B334" s="13" t="str">
        <f>Indicadores[[#This Row],[CIIU]]&amp;Indicadores[[#This Row],[Año]]</f>
        <v>K65212016</v>
      </c>
      <c r="C334" s="14" t="s">
        <v>3166</v>
      </c>
      <c r="D334" s="14" t="s">
        <v>3201</v>
      </c>
      <c r="E334" s="848">
        <v>2016</v>
      </c>
      <c r="F334" s="856" t="s">
        <v>3209</v>
      </c>
      <c r="G334" s="858" t="s">
        <v>3210</v>
      </c>
      <c r="H334" s="848" t="s">
        <v>3211</v>
      </c>
      <c r="I334" s="693" t="s">
        <v>3210</v>
      </c>
      <c r="J334" s="847">
        <v>201899</v>
      </c>
      <c r="K334" s="847">
        <v>237706</v>
      </c>
      <c r="L334" s="841">
        <v>628187</v>
      </c>
      <c r="M334" s="847">
        <v>1743435</v>
      </c>
      <c r="N334" s="839">
        <f>Indicadores[[#This Row],[Ventas]]/Indicadores[[#This Row],[Activos totales]]</f>
        <v>2.7753439660483266</v>
      </c>
      <c r="O334" s="837">
        <f>IF(Indicadores[[#This Row],[Ventas]]=0,0,Indicadores[[#This Row],[EBITDA]]/Indicadores[[#This Row],[Ventas]])</f>
        <v>0.13634348283704295</v>
      </c>
      <c r="P334" s="837">
        <f>IF(Indicadores[[#This Row],[Ventas]]=0,0,Indicadores[[#This Row],[UAI]]/Indicadores[[#This Row],[Ventas]])</f>
        <v>0.11580529242558513</v>
      </c>
      <c r="Q334" s="837">
        <f>IFERROR(Indicadores[[#This Row],[Ventas]]/Indicadores[[#This Row],[Activos totales]],0)</f>
        <v>2.7753439660483266</v>
      </c>
    </row>
    <row r="335" spans="1:17" hidden="1" x14ac:dyDescent="0.35">
      <c r="A335" s="13" t="str">
        <f>MID(Indicadores[[#This Row],[CIIU]],2,4)</f>
        <v>6522</v>
      </c>
      <c r="B335" s="13" t="str">
        <f>Indicadores[[#This Row],[CIIU]]&amp;Indicadores[[#This Row],[Año]]</f>
        <v>K65222016</v>
      </c>
      <c r="C335" s="14" t="s">
        <v>3166</v>
      </c>
      <c r="D335" s="14" t="s">
        <v>3201</v>
      </c>
      <c r="E335" s="848">
        <v>2016</v>
      </c>
      <c r="F335" s="856" t="s">
        <v>3212</v>
      </c>
      <c r="G335" s="857" t="e">
        <v>#N/A</v>
      </c>
      <c r="H335" s="848" t="s">
        <v>3213</v>
      </c>
      <c r="I335" s="693" t="s">
        <v>3214</v>
      </c>
      <c r="J335" s="847">
        <v>177818</v>
      </c>
      <c r="K335" s="847">
        <v>116307</v>
      </c>
      <c r="L335" s="841">
        <v>1364780</v>
      </c>
      <c r="M335" s="847">
        <v>3263625</v>
      </c>
      <c r="N335" s="839">
        <f>Indicadores[[#This Row],[Ventas]]/Indicadores[[#This Row],[Activos totales]]</f>
        <v>2.3913194800627209</v>
      </c>
      <c r="O335" s="837">
        <f>IF(Indicadores[[#This Row],[Ventas]]=0,0,Indicadores[[#This Row],[EBITDA]]/Indicadores[[#This Row],[Ventas]])</f>
        <v>3.5637366425370562E-2</v>
      </c>
      <c r="P335" s="837">
        <f>IF(Indicadores[[#This Row],[Ventas]]=0,0,Indicadores[[#This Row],[UAI]]/Indicadores[[#This Row],[Ventas]])</f>
        <v>5.4484813665785746E-2</v>
      </c>
      <c r="Q335" s="837">
        <f>IFERROR(Indicadores[[#This Row],[Ventas]]/Indicadores[[#This Row],[Activos totales]],0)</f>
        <v>2.3913194800627209</v>
      </c>
    </row>
    <row r="336" spans="1:17" hidden="1" x14ac:dyDescent="0.35">
      <c r="A336" s="13" t="str">
        <f>MID(Indicadores[[#This Row],[CIIU]],2,4)</f>
        <v>6532</v>
      </c>
      <c r="B336" s="13" t="str">
        <f>Indicadores[[#This Row],[CIIU]]&amp;Indicadores[[#This Row],[Año]]</f>
        <v>K65322016</v>
      </c>
      <c r="C336" s="14" t="s">
        <v>3166</v>
      </c>
      <c r="D336" s="14" t="s">
        <v>3201</v>
      </c>
      <c r="E336" s="848">
        <v>2016</v>
      </c>
      <c r="F336" s="856" t="s">
        <v>3215</v>
      </c>
      <c r="G336" s="857" t="e">
        <v>#N/A</v>
      </c>
      <c r="H336" s="848" t="s">
        <v>3216</v>
      </c>
      <c r="I336" s="693" t="s">
        <v>3217</v>
      </c>
      <c r="J336" s="847">
        <v>319525</v>
      </c>
      <c r="K336" s="847">
        <v>561356</v>
      </c>
      <c r="L336" s="841">
        <v>14376458</v>
      </c>
      <c r="M336" s="847">
        <v>2673115</v>
      </c>
      <c r="N336" s="839">
        <f>Indicadores[[#This Row],[Ventas]]/Indicadores[[#This Row],[Activos totales]]</f>
        <v>0.18593696722795003</v>
      </c>
      <c r="O336" s="837">
        <f>IF(Indicadores[[#This Row],[Ventas]]=0,0,Indicadores[[#This Row],[EBITDA]]/Indicadores[[#This Row],[Ventas]])</f>
        <v>0.21000069207647257</v>
      </c>
      <c r="P336" s="837">
        <f>IF(Indicadores[[#This Row],[Ventas]]=0,0,Indicadores[[#This Row],[UAI]]/Indicadores[[#This Row],[Ventas]])</f>
        <v>0.11953282967623914</v>
      </c>
      <c r="Q336" s="837">
        <f>IFERROR(Indicadores[[#This Row],[Ventas]]/Indicadores[[#This Row],[Activos totales]],0)</f>
        <v>0.18593696722795003</v>
      </c>
    </row>
    <row r="337" spans="1:17" hidden="1" x14ac:dyDescent="0.35">
      <c r="A337" s="13" t="str">
        <f>MID(Indicadores[[#This Row],[CIIU]],2,4)</f>
        <v>6611</v>
      </c>
      <c r="B337" s="13" t="str">
        <f>Indicadores[[#This Row],[CIIU]]&amp;Indicadores[[#This Row],[Año]]</f>
        <v>K66112016</v>
      </c>
      <c r="C337" s="14" t="s">
        <v>3166</v>
      </c>
      <c r="D337" s="14" t="s">
        <v>3218</v>
      </c>
      <c r="E337" s="848">
        <v>2016</v>
      </c>
      <c r="F337" s="856" t="s">
        <v>3219</v>
      </c>
      <c r="G337" s="858" t="s">
        <v>3220</v>
      </c>
      <c r="H337" s="848" t="s">
        <v>3221</v>
      </c>
      <c r="I337" s="693" t="s">
        <v>3220</v>
      </c>
      <c r="J337" s="847">
        <v>8545588</v>
      </c>
      <c r="K337" s="847">
        <v>9578088</v>
      </c>
      <c r="L337" s="841">
        <v>89307683</v>
      </c>
      <c r="M337" s="847">
        <v>9748535</v>
      </c>
      <c r="N337" s="839">
        <f>Indicadores[[#This Row],[Ventas]]/Indicadores[[#This Row],[Activos totales]]</f>
        <v>0.1091567340292548</v>
      </c>
      <c r="O337" s="837">
        <f>IF(Indicadores[[#This Row],[Ventas]]=0,0,Indicadores[[#This Row],[EBITDA]]/Indicadores[[#This Row],[Ventas]])</f>
        <v>0.98251562927147518</v>
      </c>
      <c r="P337" s="837">
        <f>IF(Indicadores[[#This Row],[Ventas]]=0,0,Indicadores[[#This Row],[UAI]]/Indicadores[[#This Row],[Ventas]])</f>
        <v>0.87660227921426137</v>
      </c>
      <c r="Q337" s="837">
        <f>IFERROR(Indicadores[[#This Row],[Ventas]]/Indicadores[[#This Row],[Activos totales]],0)</f>
        <v>0.1091567340292548</v>
      </c>
    </row>
    <row r="338" spans="1:17" hidden="1" x14ac:dyDescent="0.35">
      <c r="A338" s="13" t="str">
        <f>MID(Indicadores[[#This Row],[CIIU]],2,4)</f>
        <v>6612</v>
      </c>
      <c r="B338" s="13" t="str">
        <f>Indicadores[[#This Row],[CIIU]]&amp;Indicadores[[#This Row],[Año]]</f>
        <v>K66122016</v>
      </c>
      <c r="C338" s="14" t="s">
        <v>3166</v>
      </c>
      <c r="D338" s="14" t="s">
        <v>3218</v>
      </c>
      <c r="E338" s="848">
        <v>2016</v>
      </c>
      <c r="F338" s="856" t="s">
        <v>3222</v>
      </c>
      <c r="G338" s="858" t="s">
        <v>3223</v>
      </c>
      <c r="H338" s="848" t="s">
        <v>3224</v>
      </c>
      <c r="I338" s="693" t="s">
        <v>3223</v>
      </c>
      <c r="J338" s="847">
        <v>1310098</v>
      </c>
      <c r="K338" s="847">
        <v>999495</v>
      </c>
      <c r="L338" s="841">
        <v>32307456</v>
      </c>
      <c r="M338" s="847">
        <v>4363840</v>
      </c>
      <c r="N338" s="839">
        <f>Indicadores[[#This Row],[Ventas]]/Indicadores[[#This Row],[Activos totales]]</f>
        <v>0.13507222605209152</v>
      </c>
      <c r="O338" s="837">
        <f>IF(Indicadores[[#This Row],[Ventas]]=0,0,Indicadores[[#This Row],[EBITDA]]/Indicadores[[#This Row],[Ventas]])</f>
        <v>0.22904024895504876</v>
      </c>
      <c r="P338" s="837">
        <f>IF(Indicadores[[#This Row],[Ventas]]=0,0,Indicadores[[#This Row],[UAI]]/Indicadores[[#This Row],[Ventas]])</f>
        <v>0.30021678155019432</v>
      </c>
      <c r="Q338" s="837">
        <f>IFERROR(Indicadores[[#This Row],[Ventas]]/Indicadores[[#This Row],[Activos totales]],0)</f>
        <v>0.13507222605209152</v>
      </c>
    </row>
    <row r="339" spans="1:17" hidden="1" x14ac:dyDescent="0.35">
      <c r="A339" s="13" t="str">
        <f>MID(Indicadores[[#This Row],[CIIU]],2,4)</f>
        <v>6613</v>
      </c>
      <c r="B339" s="13" t="str">
        <f>Indicadores[[#This Row],[CIIU]]&amp;Indicadores[[#This Row],[Año]]</f>
        <v>K66132016</v>
      </c>
      <c r="C339" s="14" t="s">
        <v>3166</v>
      </c>
      <c r="D339" s="14" t="s">
        <v>3218</v>
      </c>
      <c r="E339" s="848">
        <v>2016</v>
      </c>
      <c r="F339" s="856" t="s">
        <v>3225</v>
      </c>
      <c r="G339" s="858" t="s">
        <v>3226</v>
      </c>
      <c r="H339" s="848" t="s">
        <v>3227</v>
      </c>
      <c r="I339" s="693" t="s">
        <v>3226</v>
      </c>
      <c r="J339" s="847">
        <v>3035819406</v>
      </c>
      <c r="K339" s="847">
        <v>2111862890</v>
      </c>
      <c r="L339" s="841">
        <v>53010325006</v>
      </c>
      <c r="M339" s="847">
        <v>2367667688</v>
      </c>
      <c r="N339" s="839">
        <f>Indicadores[[#This Row],[Ventas]]/Indicadores[[#This Row],[Activos totales]]</f>
        <v>4.4664274133992092E-2</v>
      </c>
      <c r="O339" s="837">
        <f>IF(Indicadores[[#This Row],[Ventas]]=0,0,Indicadores[[#This Row],[EBITDA]]/Indicadores[[#This Row],[Ventas]])</f>
        <v>0.89195916331650338</v>
      </c>
      <c r="P339" s="837">
        <f>IF(Indicadores[[#This Row],[Ventas]]=0,0,Indicadores[[#This Row],[UAI]]/Indicadores[[#This Row],[Ventas]])</f>
        <v>1.282198266837183</v>
      </c>
      <c r="Q339" s="837">
        <f>IFERROR(Indicadores[[#This Row],[Ventas]]/Indicadores[[#This Row],[Activos totales]],0)</f>
        <v>4.4664274133992092E-2</v>
      </c>
    </row>
    <row r="340" spans="1:17" hidden="1" x14ac:dyDescent="0.35">
      <c r="A340" s="13" t="str">
        <f>MID(Indicadores[[#This Row],[CIIU]],2,4)</f>
        <v>6614</v>
      </c>
      <c r="B340" s="13" t="str">
        <f>Indicadores[[#This Row],[CIIU]]&amp;Indicadores[[#This Row],[Año]]</f>
        <v>K66142016</v>
      </c>
      <c r="C340" s="14" t="s">
        <v>3166</v>
      </c>
      <c r="D340" s="14" t="s">
        <v>3218</v>
      </c>
      <c r="E340" s="848">
        <v>2016</v>
      </c>
      <c r="F340" s="856" t="s">
        <v>3228</v>
      </c>
      <c r="G340" s="857" t="s">
        <v>3229</v>
      </c>
      <c r="H340" s="848" t="s">
        <v>3230</v>
      </c>
      <c r="I340" s="693" t="s">
        <v>3229</v>
      </c>
      <c r="J340" s="847">
        <v>24596351</v>
      </c>
      <c r="K340" s="847">
        <v>24777735</v>
      </c>
      <c r="L340" s="841">
        <v>124415107</v>
      </c>
      <c r="M340" s="847">
        <v>2449886</v>
      </c>
      <c r="N340" s="839">
        <f>Indicadores[[#This Row],[Ventas]]/Indicadores[[#This Row],[Activos totales]]</f>
        <v>1.9691226082375994E-2</v>
      </c>
      <c r="O340" s="837">
        <f>IF(Indicadores[[#This Row],[Ventas]]=0,0,Indicadores[[#This Row],[EBITDA]]/Indicadores[[#This Row],[Ventas]])</f>
        <v>10.113831827276861</v>
      </c>
      <c r="P340" s="837">
        <f>IF(Indicadores[[#This Row],[Ventas]]=0,0,Indicadores[[#This Row],[UAI]]/Indicadores[[#This Row],[Ventas]])</f>
        <v>10.039794096541636</v>
      </c>
      <c r="Q340" s="837">
        <f>IFERROR(Indicadores[[#This Row],[Ventas]]/Indicadores[[#This Row],[Activos totales]],0)</f>
        <v>1.9691226082375994E-2</v>
      </c>
    </row>
    <row r="341" spans="1:17" hidden="1" x14ac:dyDescent="0.35">
      <c r="A341" s="13" t="str">
        <f>MID(Indicadores[[#This Row],[CIIU]],2,4)</f>
        <v>6615</v>
      </c>
      <c r="B341" s="13" t="str">
        <f>Indicadores[[#This Row],[CIIU]]&amp;Indicadores[[#This Row],[Año]]</f>
        <v>K66152016</v>
      </c>
      <c r="C341" s="14" t="s">
        <v>3166</v>
      </c>
      <c r="D341" s="14" t="s">
        <v>3218</v>
      </c>
      <c r="E341" s="848">
        <v>2016</v>
      </c>
      <c r="F341" s="856" t="s">
        <v>3231</v>
      </c>
      <c r="G341" s="858" t="s">
        <v>3232</v>
      </c>
      <c r="H341" s="848" t="s">
        <v>3233</v>
      </c>
      <c r="I341" s="693" t="s">
        <v>3232</v>
      </c>
      <c r="J341" s="847">
        <v>2521548</v>
      </c>
      <c r="K341" s="847">
        <v>4224420</v>
      </c>
      <c r="L341" s="841">
        <v>47654727</v>
      </c>
      <c r="M341" s="847">
        <v>24189528</v>
      </c>
      <c r="N341" s="839">
        <f>Indicadores[[#This Row],[Ventas]]/Indicadores[[#This Row],[Activos totales]]</f>
        <v>0.5075997602504364</v>
      </c>
      <c r="O341" s="837">
        <f>IF(Indicadores[[#This Row],[Ventas]]=0,0,Indicadores[[#This Row],[EBITDA]]/Indicadores[[#This Row],[Ventas]])</f>
        <v>0.17463838070755247</v>
      </c>
      <c r="P341" s="837">
        <f>IF(Indicadores[[#This Row],[Ventas]]=0,0,Indicadores[[#This Row],[UAI]]/Indicadores[[#This Row],[Ventas]])</f>
        <v>0.10424130640333289</v>
      </c>
      <c r="Q341" s="837">
        <f>IFERROR(Indicadores[[#This Row],[Ventas]]/Indicadores[[#This Row],[Activos totales]],0)</f>
        <v>0.5075997602504364</v>
      </c>
    </row>
    <row r="342" spans="1:17" hidden="1" x14ac:dyDescent="0.35">
      <c r="A342" s="13" t="str">
        <f>MID(Indicadores[[#This Row],[CIIU]],2,4)</f>
        <v>6619</v>
      </c>
      <c r="B342" s="13" t="str">
        <f>Indicadores[[#This Row],[CIIU]]&amp;Indicadores[[#This Row],[Año]]</f>
        <v>K66192016</v>
      </c>
      <c r="C342" s="14" t="s">
        <v>3166</v>
      </c>
      <c r="D342" s="14" t="s">
        <v>3218</v>
      </c>
      <c r="E342" s="848">
        <v>2016</v>
      </c>
      <c r="F342" s="856" t="s">
        <v>3234</v>
      </c>
      <c r="G342" s="858" t="s">
        <v>3235</v>
      </c>
      <c r="H342" s="848" t="s">
        <v>3236</v>
      </c>
      <c r="I342" s="693" t="s">
        <v>3235</v>
      </c>
      <c r="J342" s="847">
        <v>228588293</v>
      </c>
      <c r="K342" s="847">
        <v>326621157</v>
      </c>
      <c r="L342" s="841">
        <v>5573520505</v>
      </c>
      <c r="M342" s="847">
        <v>997204759</v>
      </c>
      <c r="N342" s="839">
        <f>Indicadores[[#This Row],[Ventas]]/Indicadores[[#This Row],[Activos totales]]</f>
        <v>0.17891829017322328</v>
      </c>
      <c r="O342" s="837">
        <f>IF(Indicadores[[#This Row],[Ventas]]=0,0,Indicadores[[#This Row],[EBITDA]]/Indicadores[[#This Row],[Ventas]])</f>
        <v>0.32753670101568377</v>
      </c>
      <c r="P342" s="837">
        <f>IF(Indicadores[[#This Row],[Ventas]]=0,0,Indicadores[[#This Row],[UAI]]/Indicadores[[#This Row],[Ventas]])</f>
        <v>0.22922904342055994</v>
      </c>
      <c r="Q342" s="837">
        <f>IFERROR(Indicadores[[#This Row],[Ventas]]/Indicadores[[#This Row],[Activos totales]],0)</f>
        <v>0.17891829017322328</v>
      </c>
    </row>
    <row r="343" spans="1:17" hidden="1" x14ac:dyDescent="0.35">
      <c r="A343" s="13" t="str">
        <f>MID(Indicadores[[#This Row],[CIIU]],2,4)</f>
        <v>6621</v>
      </c>
      <c r="B343" s="13" t="str">
        <f>Indicadores[[#This Row],[CIIU]]&amp;Indicadores[[#This Row],[Año]]</f>
        <v>K66212016</v>
      </c>
      <c r="C343" s="14" t="s">
        <v>3166</v>
      </c>
      <c r="D343" s="14" t="s">
        <v>3218</v>
      </c>
      <c r="E343" s="848">
        <v>2016</v>
      </c>
      <c r="F343" s="856" t="s">
        <v>3237</v>
      </c>
      <c r="G343" s="858" t="s">
        <v>3238</v>
      </c>
      <c r="H343" s="848" t="s">
        <v>3239</v>
      </c>
      <c r="I343" s="693" t="s">
        <v>3238</v>
      </c>
      <c r="J343" s="847">
        <v>161835414</v>
      </c>
      <c r="K343" s="847">
        <v>115389856</v>
      </c>
      <c r="L343" s="841">
        <v>1492888826</v>
      </c>
      <c r="M343" s="847">
        <v>72541499</v>
      </c>
      <c r="N343" s="839">
        <f>Indicadores[[#This Row],[Ventas]]/Indicadores[[#This Row],[Activos totales]]</f>
        <v>4.8591360412526791E-2</v>
      </c>
      <c r="O343" s="837">
        <f>IF(Indicadores[[#This Row],[Ventas]]=0,0,Indicadores[[#This Row],[EBITDA]]/Indicadores[[#This Row],[Ventas]])</f>
        <v>1.5906737190528693</v>
      </c>
      <c r="P343" s="837">
        <f>IF(Indicadores[[#This Row],[Ventas]]=0,0,Indicadores[[#This Row],[UAI]]/Indicadores[[#This Row],[Ventas]])</f>
        <v>2.230935619348037</v>
      </c>
      <c r="Q343" s="837">
        <f>IFERROR(Indicadores[[#This Row],[Ventas]]/Indicadores[[#This Row],[Activos totales]],0)</f>
        <v>4.8591360412526791E-2</v>
      </c>
    </row>
    <row r="344" spans="1:17" hidden="1" x14ac:dyDescent="0.35">
      <c r="A344" s="13" t="str">
        <f>MID(Indicadores[[#This Row],[CIIU]],2,4)</f>
        <v>6629</v>
      </c>
      <c r="B344" s="13" t="str">
        <f>Indicadores[[#This Row],[CIIU]]&amp;Indicadores[[#This Row],[Año]]</f>
        <v>K66292016</v>
      </c>
      <c r="C344" s="14" t="s">
        <v>3166</v>
      </c>
      <c r="D344" s="14" t="s">
        <v>3218</v>
      </c>
      <c r="E344" s="848">
        <v>2016</v>
      </c>
      <c r="F344" s="856" t="s">
        <v>3240</v>
      </c>
      <c r="G344" s="857" t="s">
        <v>3241</v>
      </c>
      <c r="H344" s="848" t="s">
        <v>3242</v>
      </c>
      <c r="I344" s="693" t="s">
        <v>3241</v>
      </c>
      <c r="J344" s="847">
        <v>4320557</v>
      </c>
      <c r="K344" s="847">
        <v>5010044</v>
      </c>
      <c r="L344" s="841">
        <v>37442192</v>
      </c>
      <c r="M344" s="847">
        <v>27693087</v>
      </c>
      <c r="N344" s="839">
        <f>Indicadores[[#This Row],[Ventas]]/Indicadores[[#This Row],[Activos totales]]</f>
        <v>0.73962248257260155</v>
      </c>
      <c r="O344" s="837">
        <f>IF(Indicadores[[#This Row],[Ventas]]=0,0,Indicadores[[#This Row],[EBITDA]]/Indicadores[[#This Row],[Ventas]])</f>
        <v>0.18091316435758859</v>
      </c>
      <c r="P344" s="837">
        <f>IF(Indicadores[[#This Row],[Ventas]]=0,0,Indicadores[[#This Row],[UAI]]/Indicadores[[#This Row],[Ventas]])</f>
        <v>0.1560157233464077</v>
      </c>
      <c r="Q344" s="837">
        <f>IFERROR(Indicadores[[#This Row],[Ventas]]/Indicadores[[#This Row],[Activos totales]],0)</f>
        <v>0.73962248257260155</v>
      </c>
    </row>
    <row r="345" spans="1:17" hidden="1" x14ac:dyDescent="0.35">
      <c r="A345" s="13" t="str">
        <f>MID(Indicadores[[#This Row],[CIIU]],2,4)</f>
        <v>6630</v>
      </c>
      <c r="B345" s="13" t="str">
        <f>Indicadores[[#This Row],[CIIU]]&amp;Indicadores[[#This Row],[Año]]</f>
        <v>K66302016</v>
      </c>
      <c r="C345" s="14" t="s">
        <v>3166</v>
      </c>
      <c r="D345" s="14" t="s">
        <v>3218</v>
      </c>
      <c r="E345" s="848">
        <v>2016</v>
      </c>
      <c r="F345" s="856" t="s">
        <v>3243</v>
      </c>
      <c r="G345" s="858" t="s">
        <v>3244</v>
      </c>
      <c r="H345" s="848" t="s">
        <v>3245</v>
      </c>
      <c r="I345" s="693" t="s">
        <v>3244</v>
      </c>
      <c r="J345" s="847">
        <v>9153479</v>
      </c>
      <c r="K345" s="847">
        <v>6018666</v>
      </c>
      <c r="L345" s="841">
        <v>172603842</v>
      </c>
      <c r="M345" s="847">
        <v>3345899</v>
      </c>
      <c r="N345" s="839">
        <f>Indicadores[[#This Row],[Ventas]]/Indicadores[[#This Row],[Activos totales]]</f>
        <v>1.9384846601502647E-2</v>
      </c>
      <c r="O345" s="837">
        <f>IF(Indicadores[[#This Row],[Ventas]]=0,0,Indicadores[[#This Row],[EBITDA]]/Indicadores[[#This Row],[Ventas]])</f>
        <v>1.798818792796794</v>
      </c>
      <c r="P345" s="837">
        <f>IF(Indicadores[[#This Row],[Ventas]]=0,0,Indicadores[[#This Row],[UAI]]/Indicadores[[#This Row],[Ventas]])</f>
        <v>2.7357308155446414</v>
      </c>
      <c r="Q345" s="837">
        <f>IFERROR(Indicadores[[#This Row],[Ventas]]/Indicadores[[#This Row],[Activos totales]],0)</f>
        <v>1.9384846601502647E-2</v>
      </c>
    </row>
    <row r="346" spans="1:17" hidden="1" x14ac:dyDescent="0.35">
      <c r="A346" s="13" t="str">
        <f>MID(Indicadores[[#This Row],[CIIU]],2,4)</f>
        <v>6810</v>
      </c>
      <c r="B346" s="13" t="str">
        <f>Indicadores[[#This Row],[CIIU]]&amp;Indicadores[[#This Row],[Año]]</f>
        <v>L68102016</v>
      </c>
      <c r="C346" s="14" t="s">
        <v>3246</v>
      </c>
      <c r="D346" s="14" t="s">
        <v>3247</v>
      </c>
      <c r="E346" s="848">
        <v>2016</v>
      </c>
      <c r="F346" s="856" t="s">
        <v>3248</v>
      </c>
      <c r="G346" s="858" t="s">
        <v>3249</v>
      </c>
      <c r="H346" s="848" t="s">
        <v>3250</v>
      </c>
      <c r="I346" s="693" t="s">
        <v>3249</v>
      </c>
      <c r="J346" s="847">
        <v>2719979422</v>
      </c>
      <c r="K346" s="847">
        <v>3200083613</v>
      </c>
      <c r="L346" s="841">
        <v>64402954693</v>
      </c>
      <c r="M346" s="847">
        <v>4482546027</v>
      </c>
      <c r="N346" s="839">
        <f>Indicadores[[#This Row],[Ventas]]/Indicadores[[#This Row],[Activos totales]]</f>
        <v>6.9601558629843588E-2</v>
      </c>
      <c r="O346" s="837">
        <f>IF(Indicadores[[#This Row],[Ventas]]=0,0,Indicadores[[#This Row],[EBITDA]]/Indicadores[[#This Row],[Ventas]])</f>
        <v>0.71389866243976885</v>
      </c>
      <c r="P346" s="837">
        <f>IF(Indicadores[[#This Row],[Ventas]]=0,0,Indicadores[[#This Row],[UAI]]/Indicadores[[#This Row],[Ventas]])</f>
        <v>0.60679341731609171</v>
      </c>
      <c r="Q346" s="837">
        <f>IFERROR(Indicadores[[#This Row],[Ventas]]/Indicadores[[#This Row],[Activos totales]],0)</f>
        <v>6.9601558629843588E-2</v>
      </c>
    </row>
    <row r="347" spans="1:17" hidden="1" x14ac:dyDescent="0.35">
      <c r="A347" s="13" t="str">
        <f>MID(Indicadores[[#This Row],[CIIU]],2,4)</f>
        <v>6820</v>
      </c>
      <c r="B347" s="13" t="str">
        <f>Indicadores[[#This Row],[CIIU]]&amp;Indicadores[[#This Row],[Año]]</f>
        <v>L68202016</v>
      </c>
      <c r="C347" s="14" t="s">
        <v>3246</v>
      </c>
      <c r="D347" s="14" t="s">
        <v>3247</v>
      </c>
      <c r="E347" s="848">
        <v>2016</v>
      </c>
      <c r="F347" s="856" t="s">
        <v>3251</v>
      </c>
      <c r="G347" s="858" t="s">
        <v>3252</v>
      </c>
      <c r="H347" s="848" t="s">
        <v>3253</v>
      </c>
      <c r="I347" s="693" t="s">
        <v>3254</v>
      </c>
      <c r="J347" s="847">
        <v>205353049</v>
      </c>
      <c r="K347" s="847">
        <v>304895143</v>
      </c>
      <c r="L347" s="841">
        <v>3963529438</v>
      </c>
      <c r="M347" s="847">
        <v>542122164</v>
      </c>
      <c r="N347" s="839">
        <f>Indicadores[[#This Row],[Ventas]]/Indicadores[[#This Row],[Activos totales]]</f>
        <v>0.13677763026116321</v>
      </c>
      <c r="O347" s="837">
        <f>IF(Indicadores[[#This Row],[Ventas]]=0,0,Indicadores[[#This Row],[EBITDA]]/Indicadores[[#This Row],[Ventas]])</f>
        <v>0.56241039980796648</v>
      </c>
      <c r="P347" s="837">
        <f>IF(Indicadores[[#This Row],[Ventas]]=0,0,Indicadores[[#This Row],[UAI]]/Indicadores[[#This Row],[Ventas]])</f>
        <v>0.37879478581879195</v>
      </c>
      <c r="Q347" s="837">
        <f>IFERROR(Indicadores[[#This Row],[Ventas]]/Indicadores[[#This Row],[Activos totales]],0)</f>
        <v>0.13677763026116321</v>
      </c>
    </row>
    <row r="348" spans="1:17" hidden="1" x14ac:dyDescent="0.35">
      <c r="A348" s="13" t="str">
        <f>MID(Indicadores[[#This Row],[CIIU]],2,4)</f>
        <v>6910</v>
      </c>
      <c r="B348" s="13" t="str">
        <f>Indicadores[[#This Row],[CIIU]]&amp;Indicadores[[#This Row],[Año]]</f>
        <v>M69102016</v>
      </c>
      <c r="C348" s="14" t="s">
        <v>3255</v>
      </c>
      <c r="D348" s="14" t="s">
        <v>3256</v>
      </c>
      <c r="E348" s="848">
        <v>2016</v>
      </c>
      <c r="F348" s="856" t="s">
        <v>3257</v>
      </c>
      <c r="G348" s="858" t="s">
        <v>3258</v>
      </c>
      <c r="H348" s="848" t="s">
        <v>3259</v>
      </c>
      <c r="I348" s="693" t="s">
        <v>3258</v>
      </c>
      <c r="J348" s="847">
        <v>167019133</v>
      </c>
      <c r="K348" s="847">
        <v>203565469</v>
      </c>
      <c r="L348" s="841">
        <v>847307389</v>
      </c>
      <c r="M348" s="847">
        <v>898001550</v>
      </c>
      <c r="N348" s="839">
        <f>Indicadores[[#This Row],[Ventas]]/Indicadores[[#This Row],[Activos totales]]</f>
        <v>1.0598297166508011</v>
      </c>
      <c r="O348" s="837">
        <f>IF(Indicadores[[#This Row],[Ventas]]=0,0,Indicadores[[#This Row],[EBITDA]]/Indicadores[[#This Row],[Ventas]])</f>
        <v>0.22668721340180314</v>
      </c>
      <c r="P348" s="837">
        <f>IF(Indicadores[[#This Row],[Ventas]]=0,0,Indicadores[[#This Row],[UAI]]/Indicadores[[#This Row],[Ventas]])</f>
        <v>0.18598980480601621</v>
      </c>
      <c r="Q348" s="837">
        <f>IFERROR(Indicadores[[#This Row],[Ventas]]/Indicadores[[#This Row],[Activos totales]],0)</f>
        <v>1.0598297166508011</v>
      </c>
    </row>
    <row r="349" spans="1:17" hidden="1" x14ac:dyDescent="0.35">
      <c r="A349" s="13" t="str">
        <f>MID(Indicadores[[#This Row],[CIIU]],2,4)</f>
        <v>6920</v>
      </c>
      <c r="B349" s="13" t="str">
        <f>Indicadores[[#This Row],[CIIU]]&amp;Indicadores[[#This Row],[Año]]</f>
        <v>M69202016</v>
      </c>
      <c r="C349" s="14" t="s">
        <v>3255</v>
      </c>
      <c r="D349" s="14" t="s">
        <v>3256</v>
      </c>
      <c r="E349" s="848">
        <v>2016</v>
      </c>
      <c r="F349" s="856" t="s">
        <v>3260</v>
      </c>
      <c r="G349" s="858" t="s">
        <v>3261</v>
      </c>
      <c r="H349" s="848" t="s">
        <v>3262</v>
      </c>
      <c r="I349" s="693" t="s">
        <v>3261</v>
      </c>
      <c r="J349" s="847">
        <v>57737113</v>
      </c>
      <c r="K349" s="847">
        <v>70583061</v>
      </c>
      <c r="L349" s="841">
        <v>373329654</v>
      </c>
      <c r="M349" s="847">
        <v>468990402</v>
      </c>
      <c r="N349" s="839">
        <f>Indicadores[[#This Row],[Ventas]]/Indicadores[[#This Row],[Activos totales]]</f>
        <v>1.2562366717324844</v>
      </c>
      <c r="O349" s="837">
        <f>IF(Indicadores[[#This Row],[Ventas]]=0,0,Indicadores[[#This Row],[EBITDA]]/Indicadores[[#This Row],[Ventas]])</f>
        <v>0.15050001172518665</v>
      </c>
      <c r="P349" s="837">
        <f>IF(Indicadores[[#This Row],[Ventas]]=0,0,Indicadores[[#This Row],[UAI]]/Indicadores[[#This Row],[Ventas]])</f>
        <v>0.12310937015721699</v>
      </c>
      <c r="Q349" s="837">
        <f>IFERROR(Indicadores[[#This Row],[Ventas]]/Indicadores[[#This Row],[Activos totales]],0)</f>
        <v>1.2562366717324844</v>
      </c>
    </row>
    <row r="350" spans="1:17" hidden="1" x14ac:dyDescent="0.35">
      <c r="A350" s="13" t="str">
        <f>MID(Indicadores[[#This Row],[CIIU]],2,4)</f>
        <v>7010</v>
      </c>
      <c r="B350" s="13" t="str">
        <f>Indicadores[[#This Row],[CIIU]]&amp;Indicadores[[#This Row],[Año]]</f>
        <v>M70102016</v>
      </c>
      <c r="C350" s="14" t="s">
        <v>3255</v>
      </c>
      <c r="D350" s="14" t="s">
        <v>3263</v>
      </c>
      <c r="E350" s="848">
        <v>2016</v>
      </c>
      <c r="F350" s="856" t="s">
        <v>3264</v>
      </c>
      <c r="G350" s="858" t="s">
        <v>3265</v>
      </c>
      <c r="H350" s="848" t="s">
        <v>3266</v>
      </c>
      <c r="I350" s="693" t="s">
        <v>3265</v>
      </c>
      <c r="J350" s="847">
        <v>809600839</v>
      </c>
      <c r="K350" s="847">
        <v>632336249</v>
      </c>
      <c r="L350" s="841">
        <v>12254629638</v>
      </c>
      <c r="M350" s="847">
        <v>995018356</v>
      </c>
      <c r="N350" s="839">
        <f>Indicadores[[#This Row],[Ventas]]/Indicadores[[#This Row],[Activos totales]]</f>
        <v>8.1195302134189226E-2</v>
      </c>
      <c r="O350" s="837">
        <f>IF(Indicadores[[#This Row],[Ventas]]=0,0,Indicadores[[#This Row],[EBITDA]]/Indicadores[[#This Row],[Ventas]])</f>
        <v>0.63550209419453163</v>
      </c>
      <c r="P350" s="837">
        <f>IF(Indicadores[[#This Row],[Ventas]]=0,0,Indicadores[[#This Row],[UAI]]/Indicadores[[#This Row],[Ventas]])</f>
        <v>0.81365417443615484</v>
      </c>
      <c r="Q350" s="837">
        <f>IFERROR(Indicadores[[#This Row],[Ventas]]/Indicadores[[#This Row],[Activos totales]],0)</f>
        <v>8.1195302134189226E-2</v>
      </c>
    </row>
    <row r="351" spans="1:17" hidden="1" x14ac:dyDescent="0.35">
      <c r="A351" s="13" t="str">
        <f>MID(Indicadores[[#This Row],[CIIU]],2,4)</f>
        <v>7020</v>
      </c>
      <c r="B351" s="13" t="str">
        <f>Indicadores[[#This Row],[CIIU]]&amp;Indicadores[[#This Row],[Año]]</f>
        <v>M70202016</v>
      </c>
      <c r="C351" s="14" t="s">
        <v>3255</v>
      </c>
      <c r="D351" s="14" t="s">
        <v>3263</v>
      </c>
      <c r="E351" s="848">
        <v>2016</v>
      </c>
      <c r="F351" s="856" t="s">
        <v>3267</v>
      </c>
      <c r="G351" s="858" t="s">
        <v>3268</v>
      </c>
      <c r="H351" s="848" t="s">
        <v>3269</v>
      </c>
      <c r="I351" s="693" t="s">
        <v>3268</v>
      </c>
      <c r="J351" s="847">
        <v>287011498</v>
      </c>
      <c r="K351" s="847">
        <v>347259383</v>
      </c>
      <c r="L351" s="841">
        <v>4804785340</v>
      </c>
      <c r="M351" s="847">
        <v>1989609210</v>
      </c>
      <c r="N351" s="839">
        <f>Indicadores[[#This Row],[Ventas]]/Indicadores[[#This Row],[Activos totales]]</f>
        <v>0.41408909435275626</v>
      </c>
      <c r="O351" s="837">
        <f>IF(Indicadores[[#This Row],[Ventas]]=0,0,Indicadores[[#This Row],[EBITDA]]/Indicadores[[#This Row],[Ventas]])</f>
        <v>0.17453647744222092</v>
      </c>
      <c r="P351" s="837">
        <f>IF(Indicadores[[#This Row],[Ventas]]=0,0,Indicadores[[#This Row],[UAI]]/Indicadores[[#This Row],[Ventas]])</f>
        <v>0.14425521180614156</v>
      </c>
      <c r="Q351" s="837">
        <f>IFERROR(Indicadores[[#This Row],[Ventas]]/Indicadores[[#This Row],[Activos totales]],0)</f>
        <v>0.41408909435275626</v>
      </c>
    </row>
    <row r="352" spans="1:17" hidden="1" x14ac:dyDescent="0.35">
      <c r="A352" s="13" t="str">
        <f>MID(Indicadores[[#This Row],[CIIU]],2,4)</f>
        <v>7110</v>
      </c>
      <c r="B352" s="13" t="str">
        <f>Indicadores[[#This Row],[CIIU]]&amp;Indicadores[[#This Row],[Año]]</f>
        <v>M71102016</v>
      </c>
      <c r="C352" s="14" t="s">
        <v>3255</v>
      </c>
      <c r="D352" s="14" t="s">
        <v>3270</v>
      </c>
      <c r="E352" s="848">
        <v>2016</v>
      </c>
      <c r="F352" s="856" t="s">
        <v>3271</v>
      </c>
      <c r="G352" s="858" t="s">
        <v>3272</v>
      </c>
      <c r="H352" s="848" t="s">
        <v>3273</v>
      </c>
      <c r="I352" s="693" t="s">
        <v>3272</v>
      </c>
      <c r="J352" s="847">
        <v>435080998</v>
      </c>
      <c r="K352" s="847">
        <v>607713841</v>
      </c>
      <c r="L352" s="841">
        <v>8746296472</v>
      </c>
      <c r="M352" s="847">
        <v>6188099495</v>
      </c>
      <c r="N352" s="839">
        <f>Indicadores[[#This Row],[Ventas]]/Indicadores[[#This Row],[Activos totales]]</f>
        <v>0.70751083213452726</v>
      </c>
      <c r="O352" s="837">
        <f>IF(Indicadores[[#This Row],[Ventas]]=0,0,Indicadores[[#This Row],[EBITDA]]/Indicadores[[#This Row],[Ventas]])</f>
        <v>9.8206863268930036E-2</v>
      </c>
      <c r="P352" s="837">
        <f>IF(Indicadores[[#This Row],[Ventas]]=0,0,Indicadores[[#This Row],[UAI]]/Indicadores[[#This Row],[Ventas]])</f>
        <v>7.0309308754900685E-2</v>
      </c>
      <c r="Q352" s="837">
        <f>IFERROR(Indicadores[[#This Row],[Ventas]]/Indicadores[[#This Row],[Activos totales]],0)</f>
        <v>0.70751083213452726</v>
      </c>
    </row>
    <row r="353" spans="1:17" hidden="1" x14ac:dyDescent="0.35">
      <c r="A353" s="13" t="str">
        <f>MID(Indicadores[[#This Row],[CIIU]],2,4)</f>
        <v>7120</v>
      </c>
      <c r="B353" s="13" t="str">
        <f>Indicadores[[#This Row],[CIIU]]&amp;Indicadores[[#This Row],[Año]]</f>
        <v>M71202016</v>
      </c>
      <c r="C353" s="14" t="s">
        <v>3255</v>
      </c>
      <c r="D353" s="14" t="s">
        <v>3270</v>
      </c>
      <c r="E353" s="848">
        <v>2016</v>
      </c>
      <c r="F353" s="856" t="s">
        <v>3274</v>
      </c>
      <c r="G353" s="858" t="s">
        <v>3275</v>
      </c>
      <c r="H353" s="848" t="s">
        <v>3276</v>
      </c>
      <c r="I353" s="693" t="s">
        <v>3275</v>
      </c>
      <c r="J353" s="847">
        <v>14794115</v>
      </c>
      <c r="K353" s="847">
        <v>18619648</v>
      </c>
      <c r="L353" s="841">
        <v>125121673</v>
      </c>
      <c r="M353" s="847">
        <v>92077657</v>
      </c>
      <c r="N353" s="839">
        <f>Indicadores[[#This Row],[Ventas]]/Indicadores[[#This Row],[Activos totales]]</f>
        <v>0.73590493790791944</v>
      </c>
      <c r="O353" s="837">
        <f>IF(Indicadores[[#This Row],[Ventas]]=0,0,Indicadores[[#This Row],[EBITDA]]/Indicadores[[#This Row],[Ventas]])</f>
        <v>0.20221678751013397</v>
      </c>
      <c r="P353" s="837">
        <f>IF(Indicadores[[#This Row],[Ventas]]=0,0,Indicadores[[#This Row],[UAI]]/Indicadores[[#This Row],[Ventas]])</f>
        <v>0.16066997664808086</v>
      </c>
      <c r="Q353" s="837">
        <f>IFERROR(Indicadores[[#This Row],[Ventas]]/Indicadores[[#This Row],[Activos totales]],0)</f>
        <v>0.73590493790791944</v>
      </c>
    </row>
    <row r="354" spans="1:17" hidden="1" x14ac:dyDescent="0.35">
      <c r="A354" s="13" t="str">
        <f>MID(Indicadores[[#This Row],[CIIU]],2,4)</f>
        <v>7210</v>
      </c>
      <c r="B354" s="13" t="str">
        <f>Indicadores[[#This Row],[CIIU]]&amp;Indicadores[[#This Row],[Año]]</f>
        <v>M72102016</v>
      </c>
      <c r="C354" s="14" t="s">
        <v>3255</v>
      </c>
      <c r="D354" s="14" t="s">
        <v>3277</v>
      </c>
      <c r="E354" s="848">
        <v>2016</v>
      </c>
      <c r="F354" s="856" t="s">
        <v>3278</v>
      </c>
      <c r="G354" s="858" t="s">
        <v>3279</v>
      </c>
      <c r="H354" s="848" t="s">
        <v>3280</v>
      </c>
      <c r="I354" s="693" t="s">
        <v>3281</v>
      </c>
      <c r="J354" s="847">
        <v>8049917</v>
      </c>
      <c r="K354" s="847">
        <v>11767574</v>
      </c>
      <c r="L354" s="841">
        <v>109675667</v>
      </c>
      <c r="M354" s="847">
        <v>92480858</v>
      </c>
      <c r="N354" s="839">
        <f>Indicadores[[#This Row],[Ventas]]/Indicadores[[#This Row],[Activos totales]]</f>
        <v>0.84322129538542034</v>
      </c>
      <c r="O354" s="837">
        <f>IF(Indicadores[[#This Row],[Ventas]]=0,0,Indicadores[[#This Row],[EBITDA]]/Indicadores[[#This Row],[Ventas]])</f>
        <v>0.12724334802343637</v>
      </c>
      <c r="P354" s="837">
        <f>IF(Indicadores[[#This Row],[Ventas]]=0,0,Indicadores[[#This Row],[UAI]]/Indicadores[[#This Row],[Ventas]])</f>
        <v>8.7044142691669227E-2</v>
      </c>
      <c r="Q354" s="837">
        <f>IFERROR(Indicadores[[#This Row],[Ventas]]/Indicadores[[#This Row],[Activos totales]],0)</f>
        <v>0.84322129538542034</v>
      </c>
    </row>
    <row r="355" spans="1:17" hidden="1" x14ac:dyDescent="0.35">
      <c r="A355" s="13" t="str">
        <f>MID(Indicadores[[#This Row],[CIIU]],2,4)</f>
        <v>7220</v>
      </c>
      <c r="B355" s="13" t="str">
        <f>Indicadores[[#This Row],[CIIU]]&amp;Indicadores[[#This Row],[Año]]</f>
        <v>M72202016</v>
      </c>
      <c r="C355" s="14" t="s">
        <v>3255</v>
      </c>
      <c r="D355" s="14" t="s">
        <v>3277</v>
      </c>
      <c r="E355" s="848">
        <v>2016</v>
      </c>
      <c r="F355" s="856" t="s">
        <v>3282</v>
      </c>
      <c r="G355" s="858" t="s">
        <v>3283</v>
      </c>
      <c r="H355" s="848" t="s">
        <v>3284</v>
      </c>
      <c r="I355" s="693" t="s">
        <v>3283</v>
      </c>
      <c r="J355" s="847">
        <v>-770240</v>
      </c>
      <c r="K355" s="847">
        <v>1202408</v>
      </c>
      <c r="L355" s="841">
        <v>137935470</v>
      </c>
      <c r="M355" s="847">
        <v>86823541</v>
      </c>
      <c r="N355" s="839">
        <f>Indicadores[[#This Row],[Ventas]]/Indicadores[[#This Row],[Activos totales]]</f>
        <v>0.62945043069777484</v>
      </c>
      <c r="O355" s="837">
        <f>IF(Indicadores[[#This Row],[Ventas]]=0,0,Indicadores[[#This Row],[EBITDA]]/Indicadores[[#This Row],[Ventas]])</f>
        <v>1.3848870780333642E-2</v>
      </c>
      <c r="P355" s="837">
        <f>IF(Indicadores[[#This Row],[Ventas]]=0,0,Indicadores[[#This Row],[UAI]]/Indicadores[[#This Row],[Ventas]])</f>
        <v>-8.8713267292334919E-3</v>
      </c>
      <c r="Q355" s="837">
        <f>IFERROR(Indicadores[[#This Row],[Ventas]]/Indicadores[[#This Row],[Activos totales]],0)</f>
        <v>0.62945043069777484</v>
      </c>
    </row>
    <row r="356" spans="1:17" hidden="1" x14ac:dyDescent="0.35">
      <c r="A356" s="13" t="str">
        <f>MID(Indicadores[[#This Row],[CIIU]],2,4)</f>
        <v>7310</v>
      </c>
      <c r="B356" s="13" t="str">
        <f>Indicadores[[#This Row],[CIIU]]&amp;Indicadores[[#This Row],[Año]]</f>
        <v>M73102016</v>
      </c>
      <c r="C356" s="14" t="s">
        <v>3255</v>
      </c>
      <c r="D356" s="14" t="s">
        <v>3285</v>
      </c>
      <c r="E356" s="848">
        <v>2016</v>
      </c>
      <c r="F356" s="856" t="s">
        <v>3286</v>
      </c>
      <c r="G356" s="858" t="s">
        <v>3287</v>
      </c>
      <c r="H356" s="848" t="s">
        <v>3288</v>
      </c>
      <c r="I356" s="693" t="s">
        <v>3287</v>
      </c>
      <c r="J356" s="847">
        <v>168688303</v>
      </c>
      <c r="K356" s="847">
        <v>246119474</v>
      </c>
      <c r="L356" s="841">
        <v>3007399925</v>
      </c>
      <c r="M356" s="847">
        <v>2912167365</v>
      </c>
      <c r="N356" s="839">
        <f>Indicadores[[#This Row],[Ventas]]/Indicadores[[#This Row],[Activos totales]]</f>
        <v>0.96833392220025405</v>
      </c>
      <c r="O356" s="837">
        <f>IF(Indicadores[[#This Row],[Ventas]]=0,0,Indicadores[[#This Row],[EBITDA]]/Indicadores[[#This Row],[Ventas]])</f>
        <v>8.4514192747984454E-2</v>
      </c>
      <c r="P356" s="837">
        <f>IF(Indicadores[[#This Row],[Ventas]]=0,0,Indicadores[[#This Row],[UAI]]/Indicadores[[#This Row],[Ventas]])</f>
        <v>5.7925346265254918E-2</v>
      </c>
      <c r="Q356" s="837">
        <f>IFERROR(Indicadores[[#This Row],[Ventas]]/Indicadores[[#This Row],[Activos totales]],0)</f>
        <v>0.96833392220025405</v>
      </c>
    </row>
    <row r="357" spans="1:17" hidden="1" x14ac:dyDescent="0.35">
      <c r="A357" s="13" t="str">
        <f>MID(Indicadores[[#This Row],[CIIU]],2,4)</f>
        <v>7320</v>
      </c>
      <c r="B357" s="13" t="str">
        <f>Indicadores[[#This Row],[CIIU]]&amp;Indicadores[[#This Row],[Año]]</f>
        <v>M73202016</v>
      </c>
      <c r="C357" s="14" t="s">
        <v>3255</v>
      </c>
      <c r="D357" s="14" t="s">
        <v>3285</v>
      </c>
      <c r="E357" s="848">
        <v>2016</v>
      </c>
      <c r="F357" s="856" t="s">
        <v>3289</v>
      </c>
      <c r="G357" s="858" t="s">
        <v>3290</v>
      </c>
      <c r="H357" s="848" t="s">
        <v>3291</v>
      </c>
      <c r="I357" s="693" t="s">
        <v>3290</v>
      </c>
      <c r="J357" s="847">
        <v>34644565</v>
      </c>
      <c r="K357" s="847">
        <v>45261215</v>
      </c>
      <c r="L357" s="841">
        <v>286138175</v>
      </c>
      <c r="M357" s="847">
        <v>359489773</v>
      </c>
      <c r="N357" s="839">
        <f>Indicadores[[#This Row],[Ventas]]/Indicadores[[#This Row],[Activos totales]]</f>
        <v>1.2563502685372199</v>
      </c>
      <c r="O357" s="837">
        <f>IF(Indicadores[[#This Row],[Ventas]]=0,0,Indicadores[[#This Row],[EBITDA]]/Indicadores[[#This Row],[Ventas]])</f>
        <v>0.12590404066932942</v>
      </c>
      <c r="P357" s="837">
        <f>IF(Indicadores[[#This Row],[Ventas]]=0,0,Indicadores[[#This Row],[UAI]]/Indicadores[[#This Row],[Ventas]])</f>
        <v>9.6371489822604767E-2</v>
      </c>
      <c r="Q357" s="837">
        <f>IFERROR(Indicadores[[#This Row],[Ventas]]/Indicadores[[#This Row],[Activos totales]],0)</f>
        <v>1.2563502685372199</v>
      </c>
    </row>
    <row r="358" spans="1:17" hidden="1" x14ac:dyDescent="0.35">
      <c r="A358" s="13" t="str">
        <f>MID(Indicadores[[#This Row],[CIIU]],2,4)</f>
        <v>7410</v>
      </c>
      <c r="B358" s="13" t="str">
        <f>Indicadores[[#This Row],[CIIU]]&amp;Indicadores[[#This Row],[Año]]</f>
        <v>M74102016</v>
      </c>
      <c r="C358" s="14" t="s">
        <v>3255</v>
      </c>
      <c r="D358" s="14" t="s">
        <v>3292</v>
      </c>
      <c r="E358" s="848">
        <v>2016</v>
      </c>
      <c r="F358" s="856" t="s">
        <v>3293</v>
      </c>
      <c r="G358" s="858" t="s">
        <v>3294</v>
      </c>
      <c r="H358" s="848" t="s">
        <v>3295</v>
      </c>
      <c r="I358" s="693" t="s">
        <v>3296</v>
      </c>
      <c r="J358" s="847">
        <v>21682513</v>
      </c>
      <c r="K358" s="847">
        <v>21917636</v>
      </c>
      <c r="L358" s="841">
        <v>157669848</v>
      </c>
      <c r="M358" s="847">
        <v>174918075</v>
      </c>
      <c r="N358" s="839">
        <f>Indicadores[[#This Row],[Ventas]]/Indicadores[[#This Row],[Activos totales]]</f>
        <v>1.1093945812645167</v>
      </c>
      <c r="O358" s="837">
        <f>IF(Indicadores[[#This Row],[Ventas]]=0,0,Indicadores[[#This Row],[EBITDA]]/Indicadores[[#This Row],[Ventas]])</f>
        <v>0.1253022936594746</v>
      </c>
      <c r="P358" s="837">
        <f>IF(Indicadores[[#This Row],[Ventas]]=0,0,Indicadores[[#This Row],[UAI]]/Indicadores[[#This Row],[Ventas]])</f>
        <v>0.12395810438686797</v>
      </c>
      <c r="Q358" s="837">
        <f>IFERROR(Indicadores[[#This Row],[Ventas]]/Indicadores[[#This Row],[Activos totales]],0)</f>
        <v>1.1093945812645167</v>
      </c>
    </row>
    <row r="359" spans="1:17" hidden="1" x14ac:dyDescent="0.35">
      <c r="A359" s="13" t="str">
        <f>MID(Indicadores[[#This Row],[CIIU]],2,4)</f>
        <v>7420</v>
      </c>
      <c r="B359" s="13" t="str">
        <f>Indicadores[[#This Row],[CIIU]]&amp;Indicadores[[#This Row],[Año]]</f>
        <v>M74202016</v>
      </c>
      <c r="C359" s="14" t="s">
        <v>3255</v>
      </c>
      <c r="D359" s="14" t="s">
        <v>3292</v>
      </c>
      <c r="E359" s="848">
        <v>2016</v>
      </c>
      <c r="F359" s="856" t="s">
        <v>3297</v>
      </c>
      <c r="G359" s="858" t="s">
        <v>3298</v>
      </c>
      <c r="H359" s="848" t="s">
        <v>3299</v>
      </c>
      <c r="I359" s="693" t="s">
        <v>3298</v>
      </c>
      <c r="J359" s="847">
        <v>-18194302</v>
      </c>
      <c r="K359" s="847">
        <v>-18147346</v>
      </c>
      <c r="L359" s="841">
        <v>170930552</v>
      </c>
      <c r="M359" s="847">
        <v>77935877</v>
      </c>
      <c r="N359" s="839">
        <f>Indicadores[[#This Row],[Ventas]]/Indicadores[[#This Row],[Activos totales]]</f>
        <v>0.45595053715148592</v>
      </c>
      <c r="O359" s="837">
        <f>IF(Indicadores[[#This Row],[Ventas]]=0,0,Indicadores[[#This Row],[EBITDA]]/Indicadores[[#This Row],[Ventas]])</f>
        <v>-0.23284970540589414</v>
      </c>
      <c r="P359" s="837">
        <f>IF(Indicadores[[#This Row],[Ventas]]=0,0,Indicadores[[#This Row],[UAI]]/Indicadores[[#This Row],[Ventas]])</f>
        <v>-0.23345220071110512</v>
      </c>
      <c r="Q359" s="837">
        <f>IFERROR(Indicadores[[#This Row],[Ventas]]/Indicadores[[#This Row],[Activos totales]],0)</f>
        <v>0.45595053715148592</v>
      </c>
    </row>
    <row r="360" spans="1:17" hidden="1" x14ac:dyDescent="0.35">
      <c r="A360" s="13" t="str">
        <f>MID(Indicadores[[#This Row],[CIIU]],2,4)</f>
        <v>7490</v>
      </c>
      <c r="B360" s="13" t="str">
        <f>Indicadores[[#This Row],[CIIU]]&amp;Indicadores[[#This Row],[Año]]</f>
        <v>M74902016</v>
      </c>
      <c r="C360" s="14" t="s">
        <v>3255</v>
      </c>
      <c r="D360" s="14" t="s">
        <v>3292</v>
      </c>
      <c r="E360" s="848">
        <v>2016</v>
      </c>
      <c r="F360" s="856" t="s">
        <v>3300</v>
      </c>
      <c r="G360" s="858" t="s">
        <v>3301</v>
      </c>
      <c r="H360" s="848" t="s">
        <v>3302</v>
      </c>
      <c r="I360" s="693" t="s">
        <v>3301</v>
      </c>
      <c r="J360" s="847">
        <v>359972241</v>
      </c>
      <c r="K360" s="847">
        <v>407058700</v>
      </c>
      <c r="L360" s="841">
        <v>18055314510</v>
      </c>
      <c r="M360" s="847">
        <v>1502155917</v>
      </c>
      <c r="N360" s="839">
        <f>Indicadores[[#This Row],[Ventas]]/Indicadores[[#This Row],[Activos totales]]</f>
        <v>8.3197438414491509E-2</v>
      </c>
      <c r="O360" s="837">
        <f>IF(Indicadores[[#This Row],[Ventas]]=0,0,Indicadores[[#This Row],[EBITDA]]/Indicadores[[#This Row],[Ventas]])</f>
        <v>0.27098298877852106</v>
      </c>
      <c r="P360" s="837">
        <f>IF(Indicadores[[#This Row],[Ventas]]=0,0,Indicadores[[#This Row],[UAI]]/Indicadores[[#This Row],[Ventas]])</f>
        <v>0.23963706891286704</v>
      </c>
      <c r="Q360" s="837">
        <f>IFERROR(Indicadores[[#This Row],[Ventas]]/Indicadores[[#This Row],[Activos totales]],0)</f>
        <v>8.3197438414491509E-2</v>
      </c>
    </row>
    <row r="361" spans="1:17" hidden="1" x14ac:dyDescent="0.35">
      <c r="A361" s="13" t="str">
        <f>MID(Indicadores[[#This Row],[CIIU]],2,4)</f>
        <v>7710</v>
      </c>
      <c r="B361" s="13" t="str">
        <f>Indicadores[[#This Row],[CIIU]]&amp;Indicadores[[#This Row],[Año]]</f>
        <v>N77102016</v>
      </c>
      <c r="C361" s="14" t="s">
        <v>3303</v>
      </c>
      <c r="D361" s="14" t="s">
        <v>3304</v>
      </c>
      <c r="E361" s="848">
        <v>2016</v>
      </c>
      <c r="F361" s="856" t="s">
        <v>3305</v>
      </c>
      <c r="G361" s="858" t="s">
        <v>3306</v>
      </c>
      <c r="H361" s="848" t="s">
        <v>3307</v>
      </c>
      <c r="I361" s="693" t="s">
        <v>3306</v>
      </c>
      <c r="J361" s="847">
        <v>154474047</v>
      </c>
      <c r="K361" s="847">
        <v>375696524</v>
      </c>
      <c r="L361" s="841">
        <v>2346482647</v>
      </c>
      <c r="M361" s="847">
        <v>686667157</v>
      </c>
      <c r="N361" s="839">
        <f>Indicadores[[#This Row],[Ventas]]/Indicadores[[#This Row],[Activos totales]]</f>
        <v>0.29263679314991331</v>
      </c>
      <c r="O361" s="837">
        <f>IF(Indicadores[[#This Row],[Ventas]]=0,0,Indicadores[[#This Row],[EBITDA]]/Indicadores[[#This Row],[Ventas]])</f>
        <v>0.54713046950052391</v>
      </c>
      <c r="P361" s="837">
        <f>IF(Indicadores[[#This Row],[Ventas]]=0,0,Indicadores[[#This Row],[UAI]]/Indicadores[[#This Row],[Ventas]])</f>
        <v>0.22496204372856005</v>
      </c>
      <c r="Q361" s="837">
        <f>IFERROR(Indicadores[[#This Row],[Ventas]]/Indicadores[[#This Row],[Activos totales]],0)</f>
        <v>0.29263679314991331</v>
      </c>
    </row>
    <row r="362" spans="1:17" hidden="1" x14ac:dyDescent="0.35">
      <c r="A362" s="13" t="str">
        <f>MID(Indicadores[[#This Row],[CIIU]],2,4)</f>
        <v>7721</v>
      </c>
      <c r="B362" s="13" t="str">
        <f>Indicadores[[#This Row],[CIIU]]&amp;Indicadores[[#This Row],[Año]]</f>
        <v>N77212016</v>
      </c>
      <c r="C362" s="14" t="s">
        <v>3303</v>
      </c>
      <c r="D362" s="14" t="s">
        <v>3304</v>
      </c>
      <c r="E362" s="848">
        <v>2016</v>
      </c>
      <c r="F362" s="856" t="s">
        <v>3308</v>
      </c>
      <c r="G362" s="857" t="s">
        <v>3309</v>
      </c>
      <c r="H362" s="848" t="s">
        <v>3310</v>
      </c>
      <c r="I362" s="693" t="s">
        <v>3309</v>
      </c>
      <c r="J362" s="847">
        <v>512073</v>
      </c>
      <c r="K362" s="847">
        <v>1071850</v>
      </c>
      <c r="L362" s="841">
        <v>6538271</v>
      </c>
      <c r="M362" s="847">
        <v>6322386</v>
      </c>
      <c r="N362" s="839">
        <f>Indicadores[[#This Row],[Ventas]]/Indicadores[[#This Row],[Activos totales]]</f>
        <v>0.96698133191481361</v>
      </c>
      <c r="O362" s="837">
        <f>IF(Indicadores[[#This Row],[Ventas]]=0,0,Indicadores[[#This Row],[EBITDA]]/Indicadores[[#This Row],[Ventas]])</f>
        <v>0.16953251509793929</v>
      </c>
      <c r="P362" s="837">
        <f>IF(Indicadores[[#This Row],[Ventas]]=0,0,Indicadores[[#This Row],[UAI]]/Indicadores[[#This Row],[Ventas]])</f>
        <v>8.0993631201891181E-2</v>
      </c>
      <c r="Q362" s="837">
        <f>IFERROR(Indicadores[[#This Row],[Ventas]]/Indicadores[[#This Row],[Activos totales]],0)</f>
        <v>0.96698133191481361</v>
      </c>
    </row>
    <row r="363" spans="1:17" hidden="1" x14ac:dyDescent="0.35">
      <c r="A363" s="13" t="str">
        <f>MID(Indicadores[[#This Row],[CIIU]],2,4)</f>
        <v>7730</v>
      </c>
      <c r="B363" s="13" t="str">
        <f>Indicadores[[#This Row],[CIIU]]&amp;Indicadores[[#This Row],[Año]]</f>
        <v>N77302016</v>
      </c>
      <c r="C363" s="14" t="s">
        <v>3303</v>
      </c>
      <c r="D363" s="14" t="s">
        <v>3304</v>
      </c>
      <c r="E363" s="848">
        <v>2016</v>
      </c>
      <c r="F363" s="856" t="s">
        <v>3311</v>
      </c>
      <c r="G363" s="858" t="s">
        <v>3312</v>
      </c>
      <c r="H363" s="848" t="s">
        <v>3313</v>
      </c>
      <c r="I363" s="693" t="s">
        <v>3312</v>
      </c>
      <c r="J363" s="847">
        <v>87997432</v>
      </c>
      <c r="K363" s="847">
        <v>459002647</v>
      </c>
      <c r="L363" s="841">
        <v>3630304163</v>
      </c>
      <c r="M363" s="847">
        <v>1510986829</v>
      </c>
      <c r="N363" s="839">
        <f>Indicadores[[#This Row],[Ventas]]/Indicadores[[#This Row],[Activos totales]]</f>
        <v>0.41621493989400471</v>
      </c>
      <c r="O363" s="837">
        <f>IF(Indicadores[[#This Row],[Ventas]]=0,0,Indicadores[[#This Row],[EBITDA]]/Indicadores[[#This Row],[Ventas]])</f>
        <v>0.30377673596518162</v>
      </c>
      <c r="P363" s="837">
        <f>IF(Indicadores[[#This Row],[Ventas]]=0,0,Indicadores[[#This Row],[UAI]]/Indicadores[[#This Row],[Ventas]])</f>
        <v>5.8238384551795454E-2</v>
      </c>
      <c r="Q363" s="837">
        <f>IFERROR(Indicadores[[#This Row],[Ventas]]/Indicadores[[#This Row],[Activos totales]],0)</f>
        <v>0.41621493989400471</v>
      </c>
    </row>
    <row r="364" spans="1:17" hidden="1" x14ac:dyDescent="0.35">
      <c r="A364" s="13" t="str">
        <f>MID(Indicadores[[#This Row],[CIIU]],2,4)</f>
        <v>7740</v>
      </c>
      <c r="B364" s="13" t="str">
        <f>Indicadores[[#This Row],[CIIU]]&amp;Indicadores[[#This Row],[Año]]</f>
        <v>N77402016</v>
      </c>
      <c r="C364" s="14" t="s">
        <v>3303</v>
      </c>
      <c r="D364" s="14" t="s">
        <v>3304</v>
      </c>
      <c r="E364" s="848">
        <v>2016</v>
      </c>
      <c r="F364" s="856" t="s">
        <v>3314</v>
      </c>
      <c r="G364" s="858" t="s">
        <v>3315</v>
      </c>
      <c r="H364" s="848" t="s">
        <v>3316</v>
      </c>
      <c r="I364" s="693" t="s">
        <v>3315</v>
      </c>
      <c r="J364" s="847">
        <v>33650303</v>
      </c>
      <c r="K364" s="847">
        <v>83679294</v>
      </c>
      <c r="L364" s="841">
        <v>870549401</v>
      </c>
      <c r="M364" s="847">
        <v>187419656</v>
      </c>
      <c r="N364" s="839">
        <f>Indicadores[[#This Row],[Ventas]]/Indicadores[[#This Row],[Activos totales]]</f>
        <v>0.21528893797952312</v>
      </c>
      <c r="O364" s="837">
        <f>IF(Indicadores[[#This Row],[Ventas]]=0,0,Indicadores[[#This Row],[EBITDA]]/Indicadores[[#This Row],[Ventas]])</f>
        <v>0.44648088565481092</v>
      </c>
      <c r="P364" s="837">
        <f>IF(Indicadores[[#This Row],[Ventas]]=0,0,Indicadores[[#This Row],[UAI]]/Indicadores[[#This Row],[Ventas]])</f>
        <v>0.179545218031987</v>
      </c>
      <c r="Q364" s="837">
        <f>IFERROR(Indicadores[[#This Row],[Ventas]]/Indicadores[[#This Row],[Activos totales]],0)</f>
        <v>0.21528893797952312</v>
      </c>
    </row>
    <row r="365" spans="1:17" hidden="1" x14ac:dyDescent="0.35">
      <c r="A365" s="13" t="str">
        <f>MID(Indicadores[[#This Row],[CIIU]],2,4)</f>
        <v>7810</v>
      </c>
      <c r="B365" s="13" t="str">
        <f>Indicadores[[#This Row],[CIIU]]&amp;Indicadores[[#This Row],[Año]]</f>
        <v>N78102016</v>
      </c>
      <c r="C365" s="14" t="s">
        <v>3303</v>
      </c>
      <c r="D365" s="14" t="s">
        <v>3317</v>
      </c>
      <c r="E365" s="848">
        <v>2016</v>
      </c>
      <c r="F365" s="856" t="s">
        <v>3318</v>
      </c>
      <c r="G365" s="857" t="s">
        <v>3319</v>
      </c>
      <c r="H365" s="848" t="s">
        <v>3320</v>
      </c>
      <c r="I365" s="693" t="s">
        <v>3319</v>
      </c>
      <c r="J365" s="847">
        <v>4744869</v>
      </c>
      <c r="K365" s="847">
        <v>10361585</v>
      </c>
      <c r="L365" s="841">
        <v>127463812</v>
      </c>
      <c r="M365" s="847">
        <v>184791613</v>
      </c>
      <c r="N365" s="839">
        <f>Indicadores[[#This Row],[Ventas]]/Indicadores[[#This Row],[Activos totales]]</f>
        <v>1.4497574652796357</v>
      </c>
      <c r="O365" s="837">
        <f>IF(Indicadores[[#This Row],[Ventas]]=0,0,Indicadores[[#This Row],[EBITDA]]/Indicadores[[#This Row],[Ventas]])</f>
        <v>5.6071727670887313E-2</v>
      </c>
      <c r="P365" s="837">
        <f>IF(Indicadores[[#This Row],[Ventas]]=0,0,Indicadores[[#This Row],[UAI]]/Indicadores[[#This Row],[Ventas]])</f>
        <v>2.5676863375828644E-2</v>
      </c>
      <c r="Q365" s="837">
        <f>IFERROR(Indicadores[[#This Row],[Ventas]]/Indicadores[[#This Row],[Activos totales]],0)</f>
        <v>1.4497574652796357</v>
      </c>
    </row>
    <row r="366" spans="1:17" hidden="1" x14ac:dyDescent="0.35">
      <c r="A366" s="13" t="str">
        <f>MID(Indicadores[[#This Row],[CIIU]],2,4)</f>
        <v>7820</v>
      </c>
      <c r="B366" s="13" t="str">
        <f>Indicadores[[#This Row],[CIIU]]&amp;Indicadores[[#This Row],[Año]]</f>
        <v>N78202016</v>
      </c>
      <c r="C366" s="14" t="s">
        <v>3303</v>
      </c>
      <c r="D366" s="14" t="s">
        <v>3317</v>
      </c>
      <c r="E366" s="848">
        <v>2016</v>
      </c>
      <c r="F366" s="856" t="s">
        <v>3321</v>
      </c>
      <c r="G366" s="858" t="s">
        <v>3322</v>
      </c>
      <c r="H366" s="848" t="s">
        <v>3323</v>
      </c>
      <c r="I366" s="693" t="s">
        <v>3322</v>
      </c>
      <c r="J366" s="847">
        <v>40717646</v>
      </c>
      <c r="K366" s="847">
        <v>97043155</v>
      </c>
      <c r="L366" s="841">
        <v>1150491956</v>
      </c>
      <c r="M366" s="847">
        <v>6179326591</v>
      </c>
      <c r="N366" s="839">
        <f>Indicadores[[#This Row],[Ventas]]/Indicadores[[#This Row],[Activos totales]]</f>
        <v>5.3710298092688271</v>
      </c>
      <c r="O366" s="837">
        <f>IF(Indicadores[[#This Row],[Ventas]]=0,0,Indicadores[[#This Row],[EBITDA]]/Indicadores[[#This Row],[Ventas]])</f>
        <v>1.5704487142877411E-2</v>
      </c>
      <c r="P366" s="837">
        <f>IF(Indicadores[[#This Row],[Ventas]]=0,0,Indicadores[[#This Row],[UAI]]/Indicadores[[#This Row],[Ventas]])</f>
        <v>6.589333870021372E-3</v>
      </c>
      <c r="Q366" s="837">
        <f>IFERROR(Indicadores[[#This Row],[Ventas]]/Indicadores[[#This Row],[Activos totales]],0)</f>
        <v>5.3710298092688271</v>
      </c>
    </row>
    <row r="367" spans="1:17" hidden="1" x14ac:dyDescent="0.35">
      <c r="A367" s="13" t="str">
        <f>MID(Indicadores[[#This Row],[CIIU]],2,4)</f>
        <v>7830</v>
      </c>
      <c r="B367" s="13" t="str">
        <f>Indicadores[[#This Row],[CIIU]]&amp;Indicadores[[#This Row],[Año]]</f>
        <v>N78302016</v>
      </c>
      <c r="C367" s="14" t="s">
        <v>3303</v>
      </c>
      <c r="D367" s="14" t="s">
        <v>3317</v>
      </c>
      <c r="E367" s="848">
        <v>2016</v>
      </c>
      <c r="F367" s="856" t="s">
        <v>3324</v>
      </c>
      <c r="G367" s="858" t="s">
        <v>3325</v>
      </c>
      <c r="H367" s="848" t="s">
        <v>3326</v>
      </c>
      <c r="I367" s="693" t="s">
        <v>3325</v>
      </c>
      <c r="J367" s="847">
        <v>20286266</v>
      </c>
      <c r="K367" s="847">
        <v>33475604</v>
      </c>
      <c r="L367" s="841">
        <v>447591586</v>
      </c>
      <c r="M367" s="847">
        <v>1496773995</v>
      </c>
      <c r="N367" s="839">
        <f>Indicadores[[#This Row],[Ventas]]/Indicadores[[#This Row],[Activos totales]]</f>
        <v>3.3440619569644903</v>
      </c>
      <c r="O367" s="837">
        <f>IF(Indicadores[[#This Row],[Ventas]]=0,0,Indicadores[[#This Row],[EBITDA]]/Indicadores[[#This Row],[Ventas]])</f>
        <v>2.2365169432276247E-2</v>
      </c>
      <c r="P367" s="837">
        <f>IF(Indicadores[[#This Row],[Ventas]]=0,0,Indicadores[[#This Row],[UAI]]/Indicadores[[#This Row],[Ventas]])</f>
        <v>1.3553326065101765E-2</v>
      </c>
      <c r="Q367" s="837">
        <f>IFERROR(Indicadores[[#This Row],[Ventas]]/Indicadores[[#This Row],[Activos totales]],0)</f>
        <v>3.3440619569644903</v>
      </c>
    </row>
    <row r="368" spans="1:17" hidden="1" x14ac:dyDescent="0.35">
      <c r="A368" s="13" t="str">
        <f>MID(Indicadores[[#This Row],[CIIU]],2,4)</f>
        <v>7911</v>
      </c>
      <c r="B368" s="13" t="str">
        <f>Indicadores[[#This Row],[CIIU]]&amp;Indicadores[[#This Row],[Año]]</f>
        <v>N79112016</v>
      </c>
      <c r="C368" s="14" t="s">
        <v>3303</v>
      </c>
      <c r="D368" s="14" t="s">
        <v>3327</v>
      </c>
      <c r="E368" s="848">
        <v>2016</v>
      </c>
      <c r="F368" s="856" t="s">
        <v>3328</v>
      </c>
      <c r="G368" s="858" t="s">
        <v>3329</v>
      </c>
      <c r="H368" s="848" t="s">
        <v>3330</v>
      </c>
      <c r="I368" s="693" t="s">
        <v>3329</v>
      </c>
      <c r="J368" s="847">
        <v>42292109</v>
      </c>
      <c r="K368" s="847">
        <v>58704784</v>
      </c>
      <c r="L368" s="841">
        <v>703241971</v>
      </c>
      <c r="M368" s="847">
        <v>725810786</v>
      </c>
      <c r="N368" s="839">
        <f>Indicadores[[#This Row],[Ventas]]/Indicadores[[#This Row],[Activos totales]]</f>
        <v>1.0320925313486444</v>
      </c>
      <c r="O368" s="837">
        <f>IF(Indicadores[[#This Row],[Ventas]]=0,0,Indicadores[[#This Row],[EBITDA]]/Indicadores[[#This Row],[Ventas]])</f>
        <v>8.088166383352699E-2</v>
      </c>
      <c r="P368" s="837">
        <f>IF(Indicadores[[#This Row],[Ventas]]=0,0,Indicadores[[#This Row],[UAI]]/Indicadores[[#This Row],[Ventas]])</f>
        <v>5.8268779984760384E-2</v>
      </c>
      <c r="Q368" s="837">
        <f>IFERROR(Indicadores[[#This Row],[Ventas]]/Indicadores[[#This Row],[Activos totales]],0)</f>
        <v>1.0320925313486444</v>
      </c>
    </row>
    <row r="369" spans="1:17" hidden="1" x14ac:dyDescent="0.35">
      <c r="A369" s="13" t="str">
        <f>MID(Indicadores[[#This Row],[CIIU]],2,4)</f>
        <v>7912</v>
      </c>
      <c r="B369" s="13" t="str">
        <f>Indicadores[[#This Row],[CIIU]]&amp;Indicadores[[#This Row],[Año]]</f>
        <v>N79122016</v>
      </c>
      <c r="C369" s="14" t="s">
        <v>3303</v>
      </c>
      <c r="D369" s="14" t="s">
        <v>3327</v>
      </c>
      <c r="E369" s="848">
        <v>2016</v>
      </c>
      <c r="F369" s="856" t="s">
        <v>3331</v>
      </c>
      <c r="G369" s="858" t="s">
        <v>3332</v>
      </c>
      <c r="H369" s="848" t="s">
        <v>3333</v>
      </c>
      <c r="I369" s="693" t="s">
        <v>3332</v>
      </c>
      <c r="J369" s="847">
        <v>-3937480</v>
      </c>
      <c r="K369" s="847">
        <v>-3141323</v>
      </c>
      <c r="L369" s="841">
        <v>60550365</v>
      </c>
      <c r="M369" s="847">
        <v>65722484</v>
      </c>
      <c r="N369" s="839">
        <f>Indicadores[[#This Row],[Ventas]]/Indicadores[[#This Row],[Activos totales]]</f>
        <v>1.0854184611438757</v>
      </c>
      <c r="O369" s="837">
        <f>IF(Indicadores[[#This Row],[Ventas]]=0,0,Indicadores[[#This Row],[EBITDA]]/Indicadores[[#This Row],[Ventas]])</f>
        <v>-4.7796778344531228E-2</v>
      </c>
      <c r="P369" s="837">
        <f>IF(Indicadores[[#This Row],[Ventas]]=0,0,Indicadores[[#This Row],[UAI]]/Indicadores[[#This Row],[Ventas]])</f>
        <v>-5.9910699662538619E-2</v>
      </c>
      <c r="Q369" s="837">
        <f>IFERROR(Indicadores[[#This Row],[Ventas]]/Indicadores[[#This Row],[Activos totales]],0)</f>
        <v>1.0854184611438757</v>
      </c>
    </row>
    <row r="370" spans="1:17" hidden="1" x14ac:dyDescent="0.35">
      <c r="A370" s="13" t="str">
        <f>MID(Indicadores[[#This Row],[CIIU]],2,4)</f>
        <v>7990</v>
      </c>
      <c r="B370" s="13" t="str">
        <f>Indicadores[[#This Row],[CIIU]]&amp;Indicadores[[#This Row],[Año]]</f>
        <v>N79902016</v>
      </c>
      <c r="C370" s="14" t="s">
        <v>3303</v>
      </c>
      <c r="D370" s="14" t="s">
        <v>3327</v>
      </c>
      <c r="E370" s="848">
        <v>2016</v>
      </c>
      <c r="F370" s="856" t="s">
        <v>3334</v>
      </c>
      <c r="G370" s="858" t="s">
        <v>3335</v>
      </c>
      <c r="H370" s="848" t="s">
        <v>3336</v>
      </c>
      <c r="I370" s="693" t="s">
        <v>3335</v>
      </c>
      <c r="J370" s="847">
        <v>11349989</v>
      </c>
      <c r="K370" s="847">
        <v>17141018</v>
      </c>
      <c r="L370" s="841">
        <v>576847070</v>
      </c>
      <c r="M370" s="847">
        <v>92070461</v>
      </c>
      <c r="N370" s="839">
        <f>Indicadores[[#This Row],[Ventas]]/Indicadores[[#This Row],[Activos totales]]</f>
        <v>0.15960982691651707</v>
      </c>
      <c r="O370" s="837">
        <f>IF(Indicadores[[#This Row],[Ventas]]=0,0,Indicadores[[#This Row],[EBITDA]]/Indicadores[[#This Row],[Ventas]])</f>
        <v>0.1861728269178537</v>
      </c>
      <c r="P370" s="837">
        <f>IF(Indicadores[[#This Row],[Ventas]]=0,0,Indicadores[[#This Row],[UAI]]/Indicadores[[#This Row],[Ventas]])</f>
        <v>0.12327503171728443</v>
      </c>
      <c r="Q370" s="837">
        <f>IFERROR(Indicadores[[#This Row],[Ventas]]/Indicadores[[#This Row],[Activos totales]],0)</f>
        <v>0.15960982691651707</v>
      </c>
    </row>
    <row r="371" spans="1:17" hidden="1" x14ac:dyDescent="0.35">
      <c r="A371" s="13" t="str">
        <f>MID(Indicadores[[#This Row],[CIIU]],2,4)</f>
        <v>8010</v>
      </c>
      <c r="B371" s="13" t="str">
        <f>Indicadores[[#This Row],[CIIU]]&amp;Indicadores[[#This Row],[Año]]</f>
        <v>N80102016</v>
      </c>
      <c r="C371" s="14" t="s">
        <v>3303</v>
      </c>
      <c r="D371" s="14" t="s">
        <v>3337</v>
      </c>
      <c r="E371" s="848">
        <v>2016</v>
      </c>
      <c r="F371" s="856" t="s">
        <v>3338</v>
      </c>
      <c r="G371" s="858" t="s">
        <v>3339</v>
      </c>
      <c r="H371" s="848" t="s">
        <v>3340</v>
      </c>
      <c r="I371" s="693" t="s">
        <v>3339</v>
      </c>
      <c r="J371" s="847">
        <v>4266107</v>
      </c>
      <c r="K371" s="847">
        <v>5390407</v>
      </c>
      <c r="L371" s="841">
        <v>43902529</v>
      </c>
      <c r="M371" s="847">
        <v>92333984</v>
      </c>
      <c r="N371" s="839">
        <f>Indicadores[[#This Row],[Ventas]]/Indicadores[[#This Row],[Activos totales]]</f>
        <v>2.1031586585820601</v>
      </c>
      <c r="O371" s="837">
        <f>IF(Indicadores[[#This Row],[Ventas]]=0,0,Indicadores[[#This Row],[EBITDA]]/Indicadores[[#This Row],[Ventas]])</f>
        <v>5.8379447809811823E-2</v>
      </c>
      <c r="P371" s="837">
        <f>IF(Indicadores[[#This Row],[Ventas]]=0,0,Indicadores[[#This Row],[UAI]]/Indicadores[[#This Row],[Ventas]])</f>
        <v>4.6202999320380238E-2</v>
      </c>
      <c r="Q371" s="837">
        <f>IFERROR(Indicadores[[#This Row],[Ventas]]/Indicadores[[#This Row],[Activos totales]],0)</f>
        <v>2.1031586585820601</v>
      </c>
    </row>
    <row r="372" spans="1:17" hidden="1" x14ac:dyDescent="0.35">
      <c r="A372" s="13" t="str">
        <f>MID(Indicadores[[#This Row],[CIIU]],2,4)</f>
        <v>8020</v>
      </c>
      <c r="B372" s="13" t="str">
        <f>Indicadores[[#This Row],[CIIU]]&amp;Indicadores[[#This Row],[Año]]</f>
        <v>N80202016</v>
      </c>
      <c r="C372" s="14" t="s">
        <v>3303</v>
      </c>
      <c r="D372" s="14" t="s">
        <v>3337</v>
      </c>
      <c r="E372" s="848">
        <v>2016</v>
      </c>
      <c r="F372" s="856" t="s">
        <v>3341</v>
      </c>
      <c r="G372" s="857" t="s">
        <v>3342</v>
      </c>
      <c r="H372" s="848" t="s">
        <v>3343</v>
      </c>
      <c r="I372" s="693" t="s">
        <v>3342</v>
      </c>
      <c r="J372" s="847">
        <v>49004</v>
      </c>
      <c r="K372" s="847">
        <v>332030</v>
      </c>
      <c r="L372" s="841">
        <v>16496902</v>
      </c>
      <c r="M372" s="847">
        <v>7796479</v>
      </c>
      <c r="N372" s="839">
        <f>Indicadores[[#This Row],[Ventas]]/Indicadores[[#This Row],[Activos totales]]</f>
        <v>0.47260261350888794</v>
      </c>
      <c r="O372" s="837">
        <f>IF(Indicadores[[#This Row],[Ventas]]=0,0,Indicadores[[#This Row],[EBITDA]]/Indicadores[[#This Row],[Ventas]])</f>
        <v>4.2587173004634528E-2</v>
      </c>
      <c r="P372" s="837">
        <f>IF(Indicadores[[#This Row],[Ventas]]=0,0,Indicadores[[#This Row],[UAI]]/Indicadores[[#This Row],[Ventas]])</f>
        <v>6.2854013972204635E-3</v>
      </c>
      <c r="Q372" s="837">
        <f>IFERROR(Indicadores[[#This Row],[Ventas]]/Indicadores[[#This Row],[Activos totales]],0)</f>
        <v>0.47260261350888794</v>
      </c>
    </row>
    <row r="373" spans="1:17" hidden="1" x14ac:dyDescent="0.35">
      <c r="A373" s="13" t="str">
        <f>MID(Indicadores[[#This Row],[CIIU]],2,4)</f>
        <v>8110</v>
      </c>
      <c r="B373" s="13" t="str">
        <f>Indicadores[[#This Row],[CIIU]]&amp;Indicadores[[#This Row],[Año]]</f>
        <v>N81102016</v>
      </c>
      <c r="C373" s="14" t="s">
        <v>3303</v>
      </c>
      <c r="D373" s="14" t="s">
        <v>3344</v>
      </c>
      <c r="E373" s="848">
        <v>2016</v>
      </c>
      <c r="F373" s="856" t="s">
        <v>3345</v>
      </c>
      <c r="G373" s="858" t="s">
        <v>3346</v>
      </c>
      <c r="H373" s="848" t="s">
        <v>3347</v>
      </c>
      <c r="I373" s="693" t="s">
        <v>3346</v>
      </c>
      <c r="J373" s="847">
        <v>4489187</v>
      </c>
      <c r="K373" s="847">
        <v>5088409</v>
      </c>
      <c r="L373" s="841">
        <v>16844064</v>
      </c>
      <c r="M373" s="847">
        <v>34092559</v>
      </c>
      <c r="N373" s="839">
        <f>Indicadores[[#This Row],[Ventas]]/Indicadores[[#This Row],[Activos totales]]</f>
        <v>2.0240102982273163</v>
      </c>
      <c r="O373" s="837">
        <f>IF(Indicadores[[#This Row],[Ventas]]=0,0,Indicadores[[#This Row],[EBITDA]]/Indicadores[[#This Row],[Ventas]])</f>
        <v>0.14925277389708411</v>
      </c>
      <c r="P373" s="837">
        <f>IF(Indicadores[[#This Row],[Ventas]]=0,0,Indicadores[[#This Row],[UAI]]/Indicadores[[#This Row],[Ventas]])</f>
        <v>0.13167644587782337</v>
      </c>
      <c r="Q373" s="837">
        <f>IFERROR(Indicadores[[#This Row],[Ventas]]/Indicadores[[#This Row],[Activos totales]],0)</f>
        <v>2.0240102982273163</v>
      </c>
    </row>
    <row r="374" spans="1:17" hidden="1" x14ac:dyDescent="0.35">
      <c r="A374" s="13" t="str">
        <f>MID(Indicadores[[#This Row],[CIIU]],2,4)</f>
        <v>8121</v>
      </c>
      <c r="B374" s="13" t="str">
        <f>Indicadores[[#This Row],[CIIU]]&amp;Indicadores[[#This Row],[Año]]</f>
        <v>N81212016</v>
      </c>
      <c r="C374" s="14" t="s">
        <v>3303</v>
      </c>
      <c r="D374" s="14" t="s">
        <v>3344</v>
      </c>
      <c r="E374" s="848">
        <v>2016</v>
      </c>
      <c r="F374" s="856" t="s">
        <v>3348</v>
      </c>
      <c r="G374" s="858" t="s">
        <v>3349</v>
      </c>
      <c r="H374" s="848" t="s">
        <v>3350</v>
      </c>
      <c r="I374" s="693" t="s">
        <v>3349</v>
      </c>
      <c r="J374" s="847">
        <v>26089559</v>
      </c>
      <c r="K374" s="847">
        <v>39224597</v>
      </c>
      <c r="L374" s="841">
        <v>250517608</v>
      </c>
      <c r="M374" s="847">
        <v>703072268</v>
      </c>
      <c r="N374" s="839">
        <f>Indicadores[[#This Row],[Ventas]]/Indicadores[[#This Row],[Activos totales]]</f>
        <v>2.8064784492114421</v>
      </c>
      <c r="O374" s="837">
        <f>IF(Indicadores[[#This Row],[Ventas]]=0,0,Indicadores[[#This Row],[EBITDA]]/Indicadores[[#This Row],[Ventas]])</f>
        <v>5.5790277593483463E-2</v>
      </c>
      <c r="P374" s="837">
        <f>IF(Indicadores[[#This Row],[Ventas]]=0,0,Indicadores[[#This Row],[UAI]]/Indicadores[[#This Row],[Ventas]])</f>
        <v>3.7107933547451483E-2</v>
      </c>
      <c r="Q374" s="837">
        <f>IFERROR(Indicadores[[#This Row],[Ventas]]/Indicadores[[#This Row],[Activos totales]],0)</f>
        <v>2.8064784492114421</v>
      </c>
    </row>
    <row r="375" spans="1:17" hidden="1" x14ac:dyDescent="0.35">
      <c r="A375" s="13" t="str">
        <f>MID(Indicadores[[#This Row],[CIIU]],2,4)</f>
        <v>8129</v>
      </c>
      <c r="B375" s="13" t="str">
        <f>Indicadores[[#This Row],[CIIU]]&amp;Indicadores[[#This Row],[Año]]</f>
        <v>N81292016</v>
      </c>
      <c r="C375" s="14" t="s">
        <v>3303</v>
      </c>
      <c r="D375" s="14" t="s">
        <v>3344</v>
      </c>
      <c r="E375" s="848">
        <v>2016</v>
      </c>
      <c r="F375" s="856" t="s">
        <v>3351</v>
      </c>
      <c r="G375" s="858" t="s">
        <v>3352</v>
      </c>
      <c r="H375" s="848" t="s">
        <v>3353</v>
      </c>
      <c r="I375" s="693" t="s">
        <v>3352</v>
      </c>
      <c r="J375" s="847">
        <v>20524224</v>
      </c>
      <c r="K375" s="847">
        <v>26490285</v>
      </c>
      <c r="L375" s="841">
        <v>169533290</v>
      </c>
      <c r="M375" s="847">
        <v>636589086</v>
      </c>
      <c r="N375" s="839">
        <f>Indicadores[[#This Row],[Ventas]]/Indicadores[[#This Row],[Activos totales]]</f>
        <v>3.7549503463302103</v>
      </c>
      <c r="O375" s="837">
        <f>IF(Indicadores[[#This Row],[Ventas]]=0,0,Indicadores[[#This Row],[EBITDA]]/Indicadores[[#This Row],[Ventas]])</f>
        <v>4.1612848197651944E-2</v>
      </c>
      <c r="P375" s="837">
        <f>IF(Indicadores[[#This Row],[Ventas]]=0,0,Indicadores[[#This Row],[UAI]]/Indicadores[[#This Row],[Ventas]])</f>
        <v>3.2240929747890779E-2</v>
      </c>
      <c r="Q375" s="837">
        <f>IFERROR(Indicadores[[#This Row],[Ventas]]/Indicadores[[#This Row],[Activos totales]],0)</f>
        <v>3.7549503463302103</v>
      </c>
    </row>
    <row r="376" spans="1:17" hidden="1" x14ac:dyDescent="0.35">
      <c r="A376" s="13" t="str">
        <f>MID(Indicadores[[#This Row],[CIIU]],2,4)</f>
        <v>8130</v>
      </c>
      <c r="B376" s="13" t="str">
        <f>Indicadores[[#This Row],[CIIU]]&amp;Indicadores[[#This Row],[Año]]</f>
        <v>N81302016</v>
      </c>
      <c r="C376" s="14" t="s">
        <v>3303</v>
      </c>
      <c r="D376" s="14" t="s">
        <v>3344</v>
      </c>
      <c r="E376" s="848">
        <v>2016</v>
      </c>
      <c r="F376" s="856" t="s">
        <v>3354</v>
      </c>
      <c r="G376" s="858" t="s">
        <v>3355</v>
      </c>
      <c r="H376" s="848" t="s">
        <v>3356</v>
      </c>
      <c r="I376" s="693" t="s">
        <v>3355</v>
      </c>
      <c r="J376" s="847">
        <v>2280529</v>
      </c>
      <c r="K376" s="847">
        <v>2761558</v>
      </c>
      <c r="L376" s="841">
        <v>14642766</v>
      </c>
      <c r="M376" s="847">
        <v>18620380</v>
      </c>
      <c r="N376" s="839">
        <f>Indicadores[[#This Row],[Ventas]]/Indicadores[[#This Row],[Activos totales]]</f>
        <v>1.2716436225232308</v>
      </c>
      <c r="O376" s="837">
        <f>IF(Indicadores[[#This Row],[Ventas]]=0,0,Indicadores[[#This Row],[EBITDA]]/Indicadores[[#This Row],[Ventas]])</f>
        <v>0.14830835890567218</v>
      </c>
      <c r="P376" s="837">
        <f>IF(Indicadores[[#This Row],[Ventas]]=0,0,Indicadores[[#This Row],[UAI]]/Indicadores[[#This Row],[Ventas]])</f>
        <v>0.12247489041577024</v>
      </c>
      <c r="Q376" s="837">
        <f>IFERROR(Indicadores[[#This Row],[Ventas]]/Indicadores[[#This Row],[Activos totales]],0)</f>
        <v>1.2716436225232308</v>
      </c>
    </row>
    <row r="377" spans="1:17" hidden="1" x14ac:dyDescent="0.35">
      <c r="A377" s="13" t="str">
        <f>MID(Indicadores[[#This Row],[CIIU]],2,4)</f>
        <v>8211</v>
      </c>
      <c r="B377" s="13" t="str">
        <f>Indicadores[[#This Row],[CIIU]]&amp;Indicadores[[#This Row],[Año]]</f>
        <v>N82112016</v>
      </c>
      <c r="C377" s="14" t="s">
        <v>3303</v>
      </c>
      <c r="D377" s="14" t="s">
        <v>3357</v>
      </c>
      <c r="E377" s="848">
        <v>2016</v>
      </c>
      <c r="F377" s="856" t="s">
        <v>3358</v>
      </c>
      <c r="G377" s="858" t="s">
        <v>3359</v>
      </c>
      <c r="H377" s="848" t="s">
        <v>3360</v>
      </c>
      <c r="I377" s="693" t="s">
        <v>3359</v>
      </c>
      <c r="J377" s="847">
        <v>39409725</v>
      </c>
      <c r="K377" s="847">
        <v>30799976</v>
      </c>
      <c r="L377" s="841">
        <v>440531652</v>
      </c>
      <c r="M377" s="847">
        <v>138920921</v>
      </c>
      <c r="N377" s="839">
        <f>Indicadores[[#This Row],[Ventas]]/Indicadores[[#This Row],[Activos totales]]</f>
        <v>0.315348330521322</v>
      </c>
      <c r="O377" s="837">
        <f>IF(Indicadores[[#This Row],[Ventas]]=0,0,Indicadores[[#This Row],[EBITDA]]/Indicadores[[#This Row],[Ventas]])</f>
        <v>0.22170869425779288</v>
      </c>
      <c r="P377" s="837">
        <f>IF(Indicadores[[#This Row],[Ventas]]=0,0,Indicadores[[#This Row],[UAI]]/Indicadores[[#This Row],[Ventas]])</f>
        <v>0.28368459348178376</v>
      </c>
      <c r="Q377" s="837">
        <f>IFERROR(Indicadores[[#This Row],[Ventas]]/Indicadores[[#This Row],[Activos totales]],0)</f>
        <v>0.315348330521322</v>
      </c>
    </row>
    <row r="378" spans="1:17" hidden="1" x14ac:dyDescent="0.35">
      <c r="A378" s="13" t="str">
        <f>MID(Indicadores[[#This Row],[CIIU]],2,4)</f>
        <v>8219</v>
      </c>
      <c r="B378" s="13" t="str">
        <f>Indicadores[[#This Row],[CIIU]]&amp;Indicadores[[#This Row],[Año]]</f>
        <v>N82192016</v>
      </c>
      <c r="C378" s="14" t="s">
        <v>3303</v>
      </c>
      <c r="D378" s="14" t="s">
        <v>3357</v>
      </c>
      <c r="E378" s="848">
        <v>2016</v>
      </c>
      <c r="F378" s="856" t="s">
        <v>3361</v>
      </c>
      <c r="G378" s="858" t="s">
        <v>3362</v>
      </c>
      <c r="H378" s="848" t="s">
        <v>3363</v>
      </c>
      <c r="I378" s="693" t="s">
        <v>3362</v>
      </c>
      <c r="J378" s="847">
        <v>1721170</v>
      </c>
      <c r="K378" s="847">
        <v>2237058</v>
      </c>
      <c r="L378" s="841">
        <v>11408497</v>
      </c>
      <c r="M378" s="847">
        <v>8433160</v>
      </c>
      <c r="N378" s="839">
        <f>Indicadores[[#This Row],[Ventas]]/Indicadores[[#This Row],[Activos totales]]</f>
        <v>0.73919991388874451</v>
      </c>
      <c r="O378" s="837">
        <f>IF(Indicadores[[#This Row],[Ventas]]=0,0,Indicadores[[#This Row],[EBITDA]]/Indicadores[[#This Row],[Ventas]])</f>
        <v>0.26526924664064244</v>
      </c>
      <c r="P378" s="837">
        <f>IF(Indicadores[[#This Row],[Ventas]]=0,0,Indicadores[[#This Row],[UAI]]/Indicadores[[#This Row],[Ventas]])</f>
        <v>0.2040954991960309</v>
      </c>
      <c r="Q378" s="837">
        <f>IFERROR(Indicadores[[#This Row],[Ventas]]/Indicadores[[#This Row],[Activos totales]],0)</f>
        <v>0.73919991388874451</v>
      </c>
    </row>
    <row r="379" spans="1:17" hidden="1" x14ac:dyDescent="0.35">
      <c r="A379" s="13" t="str">
        <f>MID(Indicadores[[#This Row],[CIIU]],2,4)</f>
        <v>8220</v>
      </c>
      <c r="B379" s="13" t="str">
        <f>Indicadores[[#This Row],[CIIU]]&amp;Indicadores[[#This Row],[Año]]</f>
        <v>N82202016</v>
      </c>
      <c r="C379" s="14" t="s">
        <v>3303</v>
      </c>
      <c r="D379" s="14" t="s">
        <v>3357</v>
      </c>
      <c r="E379" s="848">
        <v>2016</v>
      </c>
      <c r="F379" s="856" t="s">
        <v>3364</v>
      </c>
      <c r="G379" s="858" t="s">
        <v>3365</v>
      </c>
      <c r="H379" s="848" t="s">
        <v>3366</v>
      </c>
      <c r="I379" s="693" t="s">
        <v>3365</v>
      </c>
      <c r="J379" s="847">
        <v>186595494</v>
      </c>
      <c r="K379" s="847">
        <v>368295372</v>
      </c>
      <c r="L379" s="841">
        <v>2236573659</v>
      </c>
      <c r="M379" s="847">
        <v>3109106626</v>
      </c>
      <c r="N379" s="839">
        <f>Indicadores[[#This Row],[Ventas]]/Indicadores[[#This Row],[Activos totales]]</f>
        <v>1.3901203805602005</v>
      </c>
      <c r="O379" s="837">
        <f>IF(Indicadores[[#This Row],[Ventas]]=0,0,Indicadores[[#This Row],[EBITDA]]/Indicadores[[#This Row],[Ventas]])</f>
        <v>0.11845697697213682</v>
      </c>
      <c r="P379" s="837">
        <f>IF(Indicadores[[#This Row],[Ventas]]=0,0,Indicadores[[#This Row],[UAI]]/Indicadores[[#This Row],[Ventas]])</f>
        <v>6.0015791172804894E-2</v>
      </c>
      <c r="Q379" s="837">
        <f>IFERROR(Indicadores[[#This Row],[Ventas]]/Indicadores[[#This Row],[Activos totales]],0)</f>
        <v>1.3901203805602005</v>
      </c>
    </row>
    <row r="380" spans="1:17" hidden="1" x14ac:dyDescent="0.35">
      <c r="A380" s="13" t="str">
        <f>MID(Indicadores[[#This Row],[CIIU]],2,4)</f>
        <v>8230</v>
      </c>
      <c r="B380" s="13" t="str">
        <f>Indicadores[[#This Row],[CIIU]]&amp;Indicadores[[#This Row],[Año]]</f>
        <v>N82302016</v>
      </c>
      <c r="C380" s="14" t="s">
        <v>3303</v>
      </c>
      <c r="D380" s="14" t="s">
        <v>3357</v>
      </c>
      <c r="E380" s="848">
        <v>2016</v>
      </c>
      <c r="F380" s="856" t="s">
        <v>3367</v>
      </c>
      <c r="G380" s="858" t="s">
        <v>3368</v>
      </c>
      <c r="H380" s="848" t="s">
        <v>3369</v>
      </c>
      <c r="I380" s="693" t="s">
        <v>3368</v>
      </c>
      <c r="J380" s="847">
        <v>-6202335</v>
      </c>
      <c r="K380" s="847">
        <v>4760328</v>
      </c>
      <c r="L380" s="841">
        <v>508441460</v>
      </c>
      <c r="M380" s="847">
        <v>159011770</v>
      </c>
      <c r="N380" s="839">
        <f>Indicadores[[#This Row],[Ventas]]/Indicadores[[#This Row],[Activos totales]]</f>
        <v>0.31274351623488766</v>
      </c>
      <c r="O380" s="837">
        <f>IF(Indicadores[[#This Row],[Ventas]]=0,0,Indicadores[[#This Row],[EBITDA]]/Indicadores[[#This Row],[Ventas]])</f>
        <v>2.9936953723614296E-2</v>
      </c>
      <c r="P380" s="837">
        <f>IF(Indicadores[[#This Row],[Ventas]]=0,0,Indicadores[[#This Row],[UAI]]/Indicadores[[#This Row],[Ventas]])</f>
        <v>-3.900550883749046E-2</v>
      </c>
      <c r="Q380" s="837">
        <f>IFERROR(Indicadores[[#This Row],[Ventas]]/Indicadores[[#This Row],[Activos totales]],0)</f>
        <v>0.31274351623488766</v>
      </c>
    </row>
    <row r="381" spans="1:17" hidden="1" x14ac:dyDescent="0.35">
      <c r="A381" s="13" t="str">
        <f>MID(Indicadores[[#This Row],[CIIU]],2,4)</f>
        <v>8291</v>
      </c>
      <c r="B381" s="13" t="str">
        <f>Indicadores[[#This Row],[CIIU]]&amp;Indicadores[[#This Row],[Año]]</f>
        <v>N82912016</v>
      </c>
      <c r="C381" s="14" t="s">
        <v>3303</v>
      </c>
      <c r="D381" s="14" t="s">
        <v>3357</v>
      </c>
      <c r="E381" s="848">
        <v>2016</v>
      </c>
      <c r="F381" s="856" t="s">
        <v>3370</v>
      </c>
      <c r="G381" s="858" t="s">
        <v>3371</v>
      </c>
      <c r="H381" s="848" t="s">
        <v>3372</v>
      </c>
      <c r="I381" s="693" t="s">
        <v>3371</v>
      </c>
      <c r="J381" s="847">
        <v>78875031</v>
      </c>
      <c r="K381" s="847">
        <v>58293433</v>
      </c>
      <c r="L381" s="841">
        <v>274191049</v>
      </c>
      <c r="M381" s="847">
        <v>257276845</v>
      </c>
      <c r="N381" s="839">
        <f>Indicadores[[#This Row],[Ventas]]/Indicadores[[#This Row],[Activos totales]]</f>
        <v>0.9383123407504087</v>
      </c>
      <c r="O381" s="837">
        <f>IF(Indicadores[[#This Row],[Ventas]]=0,0,Indicadores[[#This Row],[EBITDA]]/Indicadores[[#This Row],[Ventas]])</f>
        <v>0.22657862195099601</v>
      </c>
      <c r="P381" s="837">
        <f>IF(Indicadores[[#This Row],[Ventas]]=0,0,Indicadores[[#This Row],[UAI]]/Indicadores[[#This Row],[Ventas]])</f>
        <v>0.3065764857307699</v>
      </c>
      <c r="Q381" s="837">
        <f>IFERROR(Indicadores[[#This Row],[Ventas]]/Indicadores[[#This Row],[Activos totales]],0)</f>
        <v>0.9383123407504087</v>
      </c>
    </row>
    <row r="382" spans="1:17" hidden="1" x14ac:dyDescent="0.35">
      <c r="A382" s="13" t="str">
        <f>MID(Indicadores[[#This Row],[CIIU]],2,4)</f>
        <v>8292</v>
      </c>
      <c r="B382" s="13" t="str">
        <f>Indicadores[[#This Row],[CIIU]]&amp;Indicadores[[#This Row],[Año]]</f>
        <v>N82922016</v>
      </c>
      <c r="C382" s="14" t="s">
        <v>3303</v>
      </c>
      <c r="D382" s="14" t="s">
        <v>3357</v>
      </c>
      <c r="E382" s="848">
        <v>2016</v>
      </c>
      <c r="F382" s="856" t="s">
        <v>3373</v>
      </c>
      <c r="G382" s="858" t="s">
        <v>3374</v>
      </c>
      <c r="H382" s="848" t="s">
        <v>3375</v>
      </c>
      <c r="I382" s="693" t="s">
        <v>3374</v>
      </c>
      <c r="J382" s="847">
        <v>14167789</v>
      </c>
      <c r="K382" s="847">
        <v>22207649</v>
      </c>
      <c r="L382" s="841">
        <v>136192494</v>
      </c>
      <c r="M382" s="847">
        <v>239851668</v>
      </c>
      <c r="N382" s="839">
        <f>Indicadores[[#This Row],[Ventas]]/Indicadores[[#This Row],[Activos totales]]</f>
        <v>1.7611225182497943</v>
      </c>
      <c r="O382" s="837">
        <f>IF(Indicadores[[#This Row],[Ventas]]=0,0,Indicadores[[#This Row],[EBITDA]]/Indicadores[[#This Row],[Ventas]])</f>
        <v>9.2589095523821829E-2</v>
      </c>
      <c r="P382" s="837">
        <f>IF(Indicadores[[#This Row],[Ventas]]=0,0,Indicadores[[#This Row],[UAI]]/Indicadores[[#This Row],[Ventas]])</f>
        <v>5.9068961738469129E-2</v>
      </c>
      <c r="Q382" s="837">
        <f>IFERROR(Indicadores[[#This Row],[Ventas]]/Indicadores[[#This Row],[Activos totales]],0)</f>
        <v>1.7611225182497943</v>
      </c>
    </row>
    <row r="383" spans="1:17" hidden="1" x14ac:dyDescent="0.35">
      <c r="A383" s="13" t="str">
        <f>MID(Indicadores[[#This Row],[CIIU]],2,4)</f>
        <v>8299</v>
      </c>
      <c r="B383" s="13" t="str">
        <f>Indicadores[[#This Row],[CIIU]]&amp;Indicadores[[#This Row],[Año]]</f>
        <v>N82992016</v>
      </c>
      <c r="C383" s="14" t="s">
        <v>3303</v>
      </c>
      <c r="D383" s="14" t="s">
        <v>3357</v>
      </c>
      <c r="E383" s="848">
        <v>2016</v>
      </c>
      <c r="F383" s="856" t="s">
        <v>3376</v>
      </c>
      <c r="G383" s="858" t="s">
        <v>3377</v>
      </c>
      <c r="H383" s="848" t="s">
        <v>3378</v>
      </c>
      <c r="I383" s="693" t="s">
        <v>3377</v>
      </c>
      <c r="J383" s="847">
        <v>721020194</v>
      </c>
      <c r="K383" s="847">
        <v>715327609</v>
      </c>
      <c r="L383" s="841">
        <v>9412180725</v>
      </c>
      <c r="M383" s="847">
        <v>3083552104</v>
      </c>
      <c r="N383" s="839">
        <f>Indicadores[[#This Row],[Ventas]]/Indicadores[[#This Row],[Activos totales]]</f>
        <v>0.32761292989303498</v>
      </c>
      <c r="O383" s="837">
        <f>IF(Indicadores[[#This Row],[Ventas]]=0,0,Indicadores[[#This Row],[EBITDA]]/Indicadores[[#This Row],[Ventas]])</f>
        <v>0.2319816837445598</v>
      </c>
      <c r="P383" s="837">
        <f>IF(Indicadores[[#This Row],[Ventas]]=0,0,Indicadores[[#This Row],[UAI]]/Indicadores[[#This Row],[Ventas]])</f>
        <v>0.23382779654175093</v>
      </c>
      <c r="Q383" s="837">
        <f>IFERROR(Indicadores[[#This Row],[Ventas]]/Indicadores[[#This Row],[Activos totales]],0)</f>
        <v>0.32761292989303498</v>
      </c>
    </row>
    <row r="384" spans="1:17" hidden="1" x14ac:dyDescent="0.35">
      <c r="A384" s="13" t="str">
        <f>MID(Indicadores[[#This Row],[CIIU]],2,4)</f>
        <v>8411</v>
      </c>
      <c r="B384" s="13" t="str">
        <f>Indicadores[[#This Row],[CIIU]]&amp;Indicadores[[#This Row],[Año]]</f>
        <v>O84112016</v>
      </c>
      <c r="C384" s="14" t="s">
        <v>3379</v>
      </c>
      <c r="D384" s="14" t="s">
        <v>3380</v>
      </c>
      <c r="E384" s="848">
        <v>2016</v>
      </c>
      <c r="F384" s="856" t="s">
        <v>3381</v>
      </c>
      <c r="G384" s="857" t="e">
        <v>#N/A</v>
      </c>
      <c r="H384" s="848" t="s">
        <v>3382</v>
      </c>
      <c r="I384" s="693" t="s">
        <v>3383</v>
      </c>
      <c r="J384" s="847">
        <v>42246</v>
      </c>
      <c r="K384" s="847">
        <v>49771</v>
      </c>
      <c r="L384" s="841">
        <v>8503716</v>
      </c>
      <c r="M384" s="847">
        <v>588700</v>
      </c>
      <c r="N384" s="839">
        <f>Indicadores[[#This Row],[Ventas]]/Indicadores[[#This Row],[Activos totales]]</f>
        <v>6.9228558432572307E-2</v>
      </c>
      <c r="O384" s="837">
        <f>IF(Indicadores[[#This Row],[Ventas]]=0,0,Indicadores[[#This Row],[EBITDA]]/Indicadores[[#This Row],[Ventas]])</f>
        <v>8.4543910310854425E-2</v>
      </c>
      <c r="P384" s="837">
        <f>IF(Indicadores[[#This Row],[Ventas]]=0,0,Indicadores[[#This Row],[UAI]]/Indicadores[[#This Row],[Ventas]])</f>
        <v>7.1761508408357391E-2</v>
      </c>
      <c r="Q384" s="837">
        <f>IFERROR(Indicadores[[#This Row],[Ventas]]/Indicadores[[#This Row],[Activos totales]],0)</f>
        <v>6.9228558432572307E-2</v>
      </c>
    </row>
    <row r="385" spans="1:17" hidden="1" x14ac:dyDescent="0.35">
      <c r="A385" s="13" t="str">
        <f>MID(Indicadores[[#This Row],[CIIU]],2,4)</f>
        <v>8413</v>
      </c>
      <c r="B385" s="13" t="str">
        <f>Indicadores[[#This Row],[CIIU]]&amp;Indicadores[[#This Row],[Año]]</f>
        <v>O84132016</v>
      </c>
      <c r="C385" s="14" t="s">
        <v>3379</v>
      </c>
      <c r="D385" s="14" t="s">
        <v>3380</v>
      </c>
      <c r="E385" s="848">
        <v>2016</v>
      </c>
      <c r="F385" s="856" t="s">
        <v>3384</v>
      </c>
      <c r="G385" s="857" t="e">
        <v>#N/A</v>
      </c>
      <c r="H385" s="848" t="s">
        <v>3385</v>
      </c>
      <c r="I385" s="693" t="s">
        <v>3386</v>
      </c>
      <c r="J385" s="847">
        <v>-23064</v>
      </c>
      <c r="K385" s="847">
        <v>-22821</v>
      </c>
      <c r="L385" s="841">
        <v>659561</v>
      </c>
      <c r="M385" s="847">
        <v>955175</v>
      </c>
      <c r="N385" s="839">
        <f>Indicadores[[#This Row],[Ventas]]/Indicadores[[#This Row],[Activos totales]]</f>
        <v>1.4481981196583789</v>
      </c>
      <c r="O385" s="837">
        <f>IF(Indicadores[[#This Row],[Ventas]]=0,0,Indicadores[[#This Row],[EBITDA]]/Indicadores[[#This Row],[Ventas]])</f>
        <v>-2.3891956971235636E-2</v>
      </c>
      <c r="P385" s="837">
        <f>IF(Indicadores[[#This Row],[Ventas]]=0,0,Indicadores[[#This Row],[UAI]]/Indicadores[[#This Row],[Ventas]])</f>
        <v>-2.4146360614547072E-2</v>
      </c>
      <c r="Q385" s="837">
        <f>IFERROR(Indicadores[[#This Row],[Ventas]]/Indicadores[[#This Row],[Activos totales]],0)</f>
        <v>1.4481981196583789</v>
      </c>
    </row>
    <row r="386" spans="1:17" hidden="1" x14ac:dyDescent="0.35">
      <c r="A386" s="13" t="str">
        <f>MID(Indicadores[[#This Row],[CIIU]],2,4)</f>
        <v>8414</v>
      </c>
      <c r="B386" s="13" t="str">
        <f>Indicadores[[#This Row],[CIIU]]&amp;Indicadores[[#This Row],[Año]]</f>
        <v>O84142016</v>
      </c>
      <c r="C386" s="14" t="s">
        <v>3379</v>
      </c>
      <c r="D386" s="14" t="s">
        <v>3380</v>
      </c>
      <c r="E386" s="848">
        <v>2016</v>
      </c>
      <c r="F386" s="856" t="s">
        <v>3387</v>
      </c>
      <c r="G386" s="858" t="s">
        <v>3388</v>
      </c>
      <c r="H386" s="848" t="s">
        <v>3389</v>
      </c>
      <c r="I386" s="693" t="s">
        <v>3388</v>
      </c>
      <c r="J386" s="847">
        <v>-253260</v>
      </c>
      <c r="K386" s="847">
        <v>-253260</v>
      </c>
      <c r="L386" s="841">
        <v>9752673</v>
      </c>
      <c r="M386" s="847">
        <v>0</v>
      </c>
      <c r="N386" s="839">
        <f>Indicadores[[#This Row],[Ventas]]/Indicadores[[#This Row],[Activos totales]]</f>
        <v>0</v>
      </c>
      <c r="O386" s="837">
        <f>IF(Indicadores[[#This Row],[Ventas]]=0,0,Indicadores[[#This Row],[EBITDA]]/Indicadores[[#This Row],[Ventas]])</f>
        <v>0</v>
      </c>
      <c r="P386" s="837">
        <f>IF(Indicadores[[#This Row],[Ventas]]=0,0,Indicadores[[#This Row],[UAI]]/Indicadores[[#This Row],[Ventas]])</f>
        <v>0</v>
      </c>
      <c r="Q386" s="837">
        <f>IFERROR(Indicadores[[#This Row],[Ventas]]/Indicadores[[#This Row],[Activos totales]],0)</f>
        <v>0</v>
      </c>
    </row>
    <row r="387" spans="1:17" hidden="1" x14ac:dyDescent="0.35">
      <c r="A387" s="13" t="str">
        <f>MID(Indicadores[[#This Row],[CIIU]],2,4)</f>
        <v>8415</v>
      </c>
      <c r="B387" s="13" t="str">
        <f>Indicadores[[#This Row],[CIIU]]&amp;Indicadores[[#This Row],[Año]]</f>
        <v>O84152016</v>
      </c>
      <c r="C387" s="14" t="s">
        <v>3379</v>
      </c>
      <c r="D387" s="14" t="s">
        <v>3380</v>
      </c>
      <c r="E387" s="848">
        <v>2016</v>
      </c>
      <c r="F387" s="856" t="s">
        <v>3390</v>
      </c>
      <c r="G387" s="857" t="e">
        <v>#N/A</v>
      </c>
      <c r="H387" s="848" t="s">
        <v>3391</v>
      </c>
      <c r="I387" s="693" t="s">
        <v>3392</v>
      </c>
      <c r="J387" s="847">
        <v>51818</v>
      </c>
      <c r="K387" s="847">
        <v>197632</v>
      </c>
      <c r="L387" s="841">
        <v>3140093</v>
      </c>
      <c r="M387" s="847">
        <v>1573371</v>
      </c>
      <c r="N387" s="839">
        <f>Indicadores[[#This Row],[Ventas]]/Indicadores[[#This Row],[Activos totales]]</f>
        <v>0.50105872660459416</v>
      </c>
      <c r="O387" s="837">
        <f>IF(Indicadores[[#This Row],[Ventas]]=0,0,Indicadores[[#This Row],[EBITDA]]/Indicadores[[#This Row],[Ventas]])</f>
        <v>0.12561055212025643</v>
      </c>
      <c r="P387" s="837">
        <f>IF(Indicadores[[#This Row],[Ventas]]=0,0,Indicadores[[#This Row],[UAI]]/Indicadores[[#This Row],[Ventas]])</f>
        <v>3.2934381020115408E-2</v>
      </c>
      <c r="Q387" s="837">
        <f>IFERROR(Indicadores[[#This Row],[Ventas]]/Indicadores[[#This Row],[Activos totales]],0)</f>
        <v>0.50105872660459416</v>
      </c>
    </row>
    <row r="388" spans="1:17" hidden="1" x14ac:dyDescent="0.35">
      <c r="A388" s="13" t="str">
        <f>MID(Indicadores[[#This Row],[CIIU]],2,4)</f>
        <v>8423</v>
      </c>
      <c r="B388" s="13" t="str">
        <f>Indicadores[[#This Row],[CIIU]]&amp;Indicadores[[#This Row],[Año]]</f>
        <v>O84232016</v>
      </c>
      <c r="C388" s="14" t="s">
        <v>3379</v>
      </c>
      <c r="D388" s="14" t="s">
        <v>3380</v>
      </c>
      <c r="E388" s="848">
        <v>2016</v>
      </c>
      <c r="F388" s="856" t="s">
        <v>3393</v>
      </c>
      <c r="G388" s="857" t="e">
        <v>#N/A</v>
      </c>
      <c r="H388" s="848" t="s">
        <v>3394</v>
      </c>
      <c r="I388" s="693" t="s">
        <v>3395</v>
      </c>
      <c r="J388" s="847">
        <v>481536</v>
      </c>
      <c r="K388" s="847">
        <v>481536</v>
      </c>
      <c r="L388" s="841">
        <v>7536961</v>
      </c>
      <c r="M388" s="847">
        <v>3468589</v>
      </c>
      <c r="N388" s="839">
        <f>Indicadores[[#This Row],[Ventas]]/Indicadores[[#This Row],[Activos totales]]</f>
        <v>0.46021055436003983</v>
      </c>
      <c r="O388" s="837">
        <f>IF(Indicadores[[#This Row],[Ventas]]=0,0,Indicadores[[#This Row],[EBITDA]]/Indicadores[[#This Row],[Ventas]])</f>
        <v>0.13882763279246979</v>
      </c>
      <c r="P388" s="837">
        <f>IF(Indicadores[[#This Row],[Ventas]]=0,0,Indicadores[[#This Row],[UAI]]/Indicadores[[#This Row],[Ventas]])</f>
        <v>0.13882763279246979</v>
      </c>
      <c r="Q388" s="837">
        <f>IFERROR(Indicadores[[#This Row],[Ventas]]/Indicadores[[#This Row],[Activos totales]],0)</f>
        <v>0.46021055436003983</v>
      </c>
    </row>
    <row r="389" spans="1:17" hidden="1" x14ac:dyDescent="0.35">
      <c r="A389" s="13" t="str">
        <f>MID(Indicadores[[#This Row],[CIIU]],2,4)</f>
        <v>8430</v>
      </c>
      <c r="B389" s="13" t="str">
        <f>Indicadores[[#This Row],[CIIU]]&amp;Indicadores[[#This Row],[Año]]</f>
        <v>O84302016</v>
      </c>
      <c r="C389" s="14" t="s">
        <v>3379</v>
      </c>
      <c r="D389" s="14" t="s">
        <v>3380</v>
      </c>
      <c r="E389" s="848">
        <v>2016</v>
      </c>
      <c r="F389" s="856" t="s">
        <v>3396</v>
      </c>
      <c r="G389" s="857" t="s">
        <v>3397</v>
      </c>
      <c r="H389" s="848" t="s">
        <v>3398</v>
      </c>
      <c r="I389" s="693" t="s">
        <v>3397</v>
      </c>
      <c r="J389" s="847">
        <v>495695</v>
      </c>
      <c r="K389" s="847">
        <v>571576</v>
      </c>
      <c r="L389" s="841">
        <v>5543242</v>
      </c>
      <c r="M389" s="847">
        <v>8489843</v>
      </c>
      <c r="N389" s="839">
        <f>Indicadores[[#This Row],[Ventas]]/Indicadores[[#This Row],[Activos totales]]</f>
        <v>1.5315663649539386</v>
      </c>
      <c r="O389" s="837">
        <f>IF(Indicadores[[#This Row],[Ventas]]=0,0,Indicadores[[#This Row],[EBITDA]]/Indicadores[[#This Row],[Ventas]])</f>
        <v>6.7324684331618381E-2</v>
      </c>
      <c r="P389" s="837">
        <f>IF(Indicadores[[#This Row],[Ventas]]=0,0,Indicadores[[#This Row],[UAI]]/Indicadores[[#This Row],[Ventas]])</f>
        <v>5.8386827648049561E-2</v>
      </c>
      <c r="Q389" s="837">
        <f>IFERROR(Indicadores[[#This Row],[Ventas]]/Indicadores[[#This Row],[Activos totales]],0)</f>
        <v>1.5315663649539386</v>
      </c>
    </row>
    <row r="390" spans="1:17" hidden="1" x14ac:dyDescent="0.35">
      <c r="A390" s="13" t="str">
        <f>MID(Indicadores[[#This Row],[CIIU]],2,4)</f>
        <v>8511</v>
      </c>
      <c r="B390" s="13" t="str">
        <f>Indicadores[[#This Row],[CIIU]]&amp;Indicadores[[#This Row],[Año]]</f>
        <v>P85112016</v>
      </c>
      <c r="C390" s="14" t="s">
        <v>3399</v>
      </c>
      <c r="D390" s="14" t="s">
        <v>3400</v>
      </c>
      <c r="E390" s="848">
        <v>2016</v>
      </c>
      <c r="F390" s="856" t="s">
        <v>3401</v>
      </c>
      <c r="G390" s="858" t="s">
        <v>3402</v>
      </c>
      <c r="H390" s="848" t="s">
        <v>3403</v>
      </c>
      <c r="I390" s="693" t="s">
        <v>3402</v>
      </c>
      <c r="J390" s="847">
        <v>-2841270</v>
      </c>
      <c r="K390" s="847">
        <v>-2727473</v>
      </c>
      <c r="L390" s="841">
        <v>6242459</v>
      </c>
      <c r="M390" s="847">
        <v>10586411</v>
      </c>
      <c r="N390" s="839">
        <f>Indicadores[[#This Row],[Ventas]]/Indicadores[[#This Row],[Activos totales]]</f>
        <v>1.6958719312373538</v>
      </c>
      <c r="O390" s="837">
        <f>IF(Indicadores[[#This Row],[Ventas]]=0,0,Indicadores[[#This Row],[EBITDA]]/Indicadores[[#This Row],[Ventas]])</f>
        <v>-0.2576390620012769</v>
      </c>
      <c r="P390" s="837">
        <f>IF(Indicadores[[#This Row],[Ventas]]=0,0,Indicadores[[#This Row],[UAI]]/Indicadores[[#This Row],[Ventas]])</f>
        <v>-0.26838840849840423</v>
      </c>
      <c r="Q390" s="837">
        <f>IFERROR(Indicadores[[#This Row],[Ventas]]/Indicadores[[#This Row],[Activos totales]],0)</f>
        <v>1.6958719312373538</v>
      </c>
    </row>
    <row r="391" spans="1:17" hidden="1" x14ac:dyDescent="0.35">
      <c r="A391" s="13" t="str">
        <f>MID(Indicadores[[#This Row],[CIIU]],2,4)</f>
        <v>8512</v>
      </c>
      <c r="B391" s="13" t="str">
        <f>Indicadores[[#This Row],[CIIU]]&amp;Indicadores[[#This Row],[Año]]</f>
        <v>P85122016</v>
      </c>
      <c r="C391" s="14" t="s">
        <v>3399</v>
      </c>
      <c r="D391" s="14" t="s">
        <v>3400</v>
      </c>
      <c r="E391" s="848">
        <v>2016</v>
      </c>
      <c r="F391" s="856" t="s">
        <v>3404</v>
      </c>
      <c r="G391" s="858" t="s">
        <v>3405</v>
      </c>
      <c r="H391" s="848" t="s">
        <v>3406</v>
      </c>
      <c r="I391" s="693" t="s">
        <v>3405</v>
      </c>
      <c r="J391" s="847">
        <v>4277549</v>
      </c>
      <c r="K391" s="847">
        <v>7074461</v>
      </c>
      <c r="L391" s="841">
        <v>52565825</v>
      </c>
      <c r="M391" s="847">
        <v>54259495</v>
      </c>
      <c r="N391" s="839">
        <f>Indicadores[[#This Row],[Ventas]]/Indicadores[[#This Row],[Activos totales]]</f>
        <v>1.0322199832305494</v>
      </c>
      <c r="O391" s="837">
        <f>IF(Indicadores[[#This Row],[Ventas]]=0,0,Indicadores[[#This Row],[EBITDA]]/Indicadores[[#This Row],[Ventas]])</f>
        <v>0.13038199120725322</v>
      </c>
      <c r="P391" s="837">
        <f>IF(Indicadores[[#This Row],[Ventas]]=0,0,Indicadores[[#This Row],[UAI]]/Indicadores[[#This Row],[Ventas]])</f>
        <v>7.8835031546091616E-2</v>
      </c>
      <c r="Q391" s="837">
        <f>IFERROR(Indicadores[[#This Row],[Ventas]]/Indicadores[[#This Row],[Activos totales]],0)</f>
        <v>1.0322199832305494</v>
      </c>
    </row>
    <row r="392" spans="1:17" hidden="1" x14ac:dyDescent="0.35">
      <c r="A392" s="13" t="str">
        <f>MID(Indicadores[[#This Row],[CIIU]],2,4)</f>
        <v>8513</v>
      </c>
      <c r="B392" s="13" t="str">
        <f>Indicadores[[#This Row],[CIIU]]&amp;Indicadores[[#This Row],[Año]]</f>
        <v>P85132016</v>
      </c>
      <c r="C392" s="14" t="s">
        <v>3399</v>
      </c>
      <c r="D392" s="14" t="s">
        <v>3400</v>
      </c>
      <c r="E392" s="848">
        <v>2016</v>
      </c>
      <c r="F392" s="856" t="s">
        <v>3407</v>
      </c>
      <c r="G392" s="858" t="s">
        <v>3408</v>
      </c>
      <c r="H392" s="848" t="s">
        <v>3409</v>
      </c>
      <c r="I392" s="693" t="s">
        <v>3408</v>
      </c>
      <c r="J392" s="847">
        <v>-41395</v>
      </c>
      <c r="K392" s="847">
        <v>3741217</v>
      </c>
      <c r="L392" s="841">
        <v>63397336</v>
      </c>
      <c r="M392" s="847">
        <v>19964010</v>
      </c>
      <c r="N392" s="839">
        <f>Indicadores[[#This Row],[Ventas]]/Indicadores[[#This Row],[Activos totales]]</f>
        <v>0.31490297951951796</v>
      </c>
      <c r="O392" s="837">
        <f>IF(Indicadores[[#This Row],[Ventas]]=0,0,Indicadores[[#This Row],[EBITDA]]/Indicadores[[#This Row],[Ventas]])</f>
        <v>0.18739807283206131</v>
      </c>
      <c r="P392" s="837">
        <f>IF(Indicadores[[#This Row],[Ventas]]=0,0,Indicadores[[#This Row],[UAI]]/Indicadores[[#This Row],[Ventas]])</f>
        <v>-2.0734812294724357E-3</v>
      </c>
      <c r="Q392" s="837">
        <f>IFERROR(Indicadores[[#This Row],[Ventas]]/Indicadores[[#This Row],[Activos totales]],0)</f>
        <v>0.31490297951951796</v>
      </c>
    </row>
    <row r="393" spans="1:17" hidden="1" x14ac:dyDescent="0.35">
      <c r="A393" s="13" t="str">
        <f>MID(Indicadores[[#This Row],[CIIU]],2,4)</f>
        <v>8521</v>
      </c>
      <c r="B393" s="13" t="str">
        <f>Indicadores[[#This Row],[CIIU]]&amp;Indicadores[[#This Row],[Año]]</f>
        <v>P85212016</v>
      </c>
      <c r="C393" s="14" t="s">
        <v>3399</v>
      </c>
      <c r="D393" s="14" t="s">
        <v>3400</v>
      </c>
      <c r="E393" s="848">
        <v>2016</v>
      </c>
      <c r="F393" s="856" t="s">
        <v>3410</v>
      </c>
      <c r="G393" s="858" t="s">
        <v>3411</v>
      </c>
      <c r="H393" s="848" t="s">
        <v>3412</v>
      </c>
      <c r="I393" s="693" t="s">
        <v>3413</v>
      </c>
      <c r="J393" s="847">
        <v>1786263</v>
      </c>
      <c r="K393" s="847">
        <v>2883132</v>
      </c>
      <c r="L393" s="841">
        <v>46056592</v>
      </c>
      <c r="M393" s="847">
        <v>38994170</v>
      </c>
      <c r="N393" s="839">
        <f>Indicadores[[#This Row],[Ventas]]/Indicadores[[#This Row],[Activos totales]]</f>
        <v>0.84665773794118326</v>
      </c>
      <c r="O393" s="837">
        <f>IF(Indicadores[[#This Row],[Ventas]]=0,0,Indicadores[[#This Row],[EBITDA]]/Indicadores[[#This Row],[Ventas]])</f>
        <v>7.3937514248924904E-2</v>
      </c>
      <c r="P393" s="837">
        <f>IF(Indicadores[[#This Row],[Ventas]]=0,0,Indicadores[[#This Row],[UAI]]/Indicadores[[#This Row],[Ventas]])</f>
        <v>4.5808463162570201E-2</v>
      </c>
      <c r="Q393" s="837">
        <f>IFERROR(Indicadores[[#This Row],[Ventas]]/Indicadores[[#This Row],[Activos totales]],0)</f>
        <v>0.84665773794118326</v>
      </c>
    </row>
    <row r="394" spans="1:17" hidden="1" x14ac:dyDescent="0.35">
      <c r="A394" s="13" t="str">
        <f>MID(Indicadores[[#This Row],[CIIU]],2,4)</f>
        <v>8522</v>
      </c>
      <c r="B394" s="13" t="str">
        <f>Indicadores[[#This Row],[CIIU]]&amp;Indicadores[[#This Row],[Año]]</f>
        <v>P85222016</v>
      </c>
      <c r="C394" s="14" t="s">
        <v>3399</v>
      </c>
      <c r="D394" s="14" t="s">
        <v>3400</v>
      </c>
      <c r="E394" s="848">
        <v>2016</v>
      </c>
      <c r="F394" s="856" t="s">
        <v>3414</v>
      </c>
      <c r="G394" s="858" t="s">
        <v>3415</v>
      </c>
      <c r="H394" s="848" t="s">
        <v>3416</v>
      </c>
      <c r="I394" s="693" t="s">
        <v>3415</v>
      </c>
      <c r="J394" s="847">
        <v>179645</v>
      </c>
      <c r="K394" s="847">
        <v>2216036</v>
      </c>
      <c r="L394" s="841">
        <v>65888013</v>
      </c>
      <c r="M394" s="847">
        <v>45802746</v>
      </c>
      <c r="N394" s="839">
        <f>Indicadores[[#This Row],[Ventas]]/Indicadores[[#This Row],[Activos totales]]</f>
        <v>0.69516052942740891</v>
      </c>
      <c r="O394" s="837">
        <f>IF(Indicadores[[#This Row],[Ventas]]=0,0,Indicadores[[#This Row],[EBITDA]]/Indicadores[[#This Row],[Ventas]])</f>
        <v>4.8382164685060583E-2</v>
      </c>
      <c r="P394" s="837">
        <f>IF(Indicadores[[#This Row],[Ventas]]=0,0,Indicadores[[#This Row],[UAI]]/Indicadores[[#This Row],[Ventas]])</f>
        <v>3.9221447552511375E-3</v>
      </c>
      <c r="Q394" s="837">
        <f>IFERROR(Indicadores[[#This Row],[Ventas]]/Indicadores[[#This Row],[Activos totales]],0)</f>
        <v>0.69516052942740891</v>
      </c>
    </row>
    <row r="395" spans="1:17" hidden="1" x14ac:dyDescent="0.35">
      <c r="A395" s="13" t="str">
        <f>MID(Indicadores[[#This Row],[CIIU]],2,4)</f>
        <v>8523</v>
      </c>
      <c r="B395" s="13" t="str">
        <f>Indicadores[[#This Row],[CIIU]]&amp;Indicadores[[#This Row],[Año]]</f>
        <v>P85232016</v>
      </c>
      <c r="C395" s="14" t="s">
        <v>3399</v>
      </c>
      <c r="D395" s="14" t="s">
        <v>3400</v>
      </c>
      <c r="E395" s="848">
        <v>2016</v>
      </c>
      <c r="F395" s="856" t="s">
        <v>3417</v>
      </c>
      <c r="G395" s="858" t="s">
        <v>3418</v>
      </c>
      <c r="H395" s="848" t="s">
        <v>3419</v>
      </c>
      <c r="I395" s="693" t="s">
        <v>3418</v>
      </c>
      <c r="J395" s="847">
        <v>12547225</v>
      </c>
      <c r="K395" s="847">
        <v>22835660</v>
      </c>
      <c r="L395" s="841">
        <v>208318345</v>
      </c>
      <c r="M395" s="847">
        <v>152446539</v>
      </c>
      <c r="N395" s="839">
        <f>Indicadores[[#This Row],[Ventas]]/Indicadores[[#This Row],[Activos totales]]</f>
        <v>0.73179603553398043</v>
      </c>
      <c r="O395" s="837">
        <f>IF(Indicadores[[#This Row],[Ventas]]=0,0,Indicadores[[#This Row],[EBITDA]]/Indicadores[[#This Row],[Ventas]])</f>
        <v>0.14979454535205944</v>
      </c>
      <c r="P395" s="837">
        <f>IF(Indicadores[[#This Row],[Ventas]]=0,0,Indicadores[[#This Row],[UAI]]/Indicadores[[#This Row],[Ventas]])</f>
        <v>8.2305738669475464E-2</v>
      </c>
      <c r="Q395" s="837">
        <f>IFERROR(Indicadores[[#This Row],[Ventas]]/Indicadores[[#This Row],[Activos totales]],0)</f>
        <v>0.73179603553398043</v>
      </c>
    </row>
    <row r="396" spans="1:17" hidden="1" x14ac:dyDescent="0.35">
      <c r="A396" s="13" t="str">
        <f>MID(Indicadores[[#This Row],[CIIU]],2,4)</f>
        <v>8530</v>
      </c>
      <c r="B396" s="13" t="str">
        <f>Indicadores[[#This Row],[CIIU]]&amp;Indicadores[[#This Row],[Año]]</f>
        <v>P85302016</v>
      </c>
      <c r="C396" s="14" t="s">
        <v>3399</v>
      </c>
      <c r="D396" s="14" t="s">
        <v>3400</v>
      </c>
      <c r="E396" s="848">
        <v>2016</v>
      </c>
      <c r="F396" s="856" t="s">
        <v>3420</v>
      </c>
      <c r="G396" s="858" t="s">
        <v>3421</v>
      </c>
      <c r="H396" s="848" t="s">
        <v>3422</v>
      </c>
      <c r="I396" s="693" t="s">
        <v>3423</v>
      </c>
      <c r="J396" s="847">
        <v>25089744</v>
      </c>
      <c r="K396" s="847">
        <v>43967559</v>
      </c>
      <c r="L396" s="841">
        <v>584170402</v>
      </c>
      <c r="M396" s="847">
        <v>335653770</v>
      </c>
      <c r="N396" s="839">
        <f>Indicadores[[#This Row],[Ventas]]/Indicadores[[#This Row],[Activos totales]]</f>
        <v>0.57458195220236441</v>
      </c>
      <c r="O396" s="837">
        <f>IF(Indicadores[[#This Row],[Ventas]]=0,0,Indicadores[[#This Row],[EBITDA]]/Indicadores[[#This Row],[Ventas]])</f>
        <v>0.13099080936883264</v>
      </c>
      <c r="P396" s="837">
        <f>IF(Indicadores[[#This Row],[Ventas]]=0,0,Indicadores[[#This Row],[UAI]]/Indicadores[[#This Row],[Ventas]])</f>
        <v>7.4748881861210731E-2</v>
      </c>
      <c r="Q396" s="837">
        <f>IFERROR(Indicadores[[#This Row],[Ventas]]/Indicadores[[#This Row],[Activos totales]],0)</f>
        <v>0.57458195220236441</v>
      </c>
    </row>
    <row r="397" spans="1:17" hidden="1" x14ac:dyDescent="0.35">
      <c r="A397" s="13" t="str">
        <f>MID(Indicadores[[#This Row],[CIIU]],2,4)</f>
        <v>8542</v>
      </c>
      <c r="B397" s="13" t="str">
        <f>Indicadores[[#This Row],[CIIU]]&amp;Indicadores[[#This Row],[Año]]</f>
        <v>P85422016</v>
      </c>
      <c r="C397" s="14" t="s">
        <v>3399</v>
      </c>
      <c r="D397" s="14" t="s">
        <v>3400</v>
      </c>
      <c r="E397" s="848">
        <v>2016</v>
      </c>
      <c r="F397" s="856" t="s">
        <v>3424</v>
      </c>
      <c r="G397" s="858" t="s">
        <v>3425</v>
      </c>
      <c r="H397" s="848" t="s">
        <v>3426</v>
      </c>
      <c r="I397" s="693" t="s">
        <v>3425</v>
      </c>
      <c r="J397" s="847">
        <v>237944</v>
      </c>
      <c r="K397" s="847">
        <v>320478</v>
      </c>
      <c r="L397" s="841">
        <v>5548002</v>
      </c>
      <c r="M397" s="847">
        <v>8935854</v>
      </c>
      <c r="N397" s="839">
        <f>Indicadores[[#This Row],[Ventas]]/Indicadores[[#This Row],[Activos totales]]</f>
        <v>1.6106436154853585</v>
      </c>
      <c r="O397" s="837">
        <f>IF(Indicadores[[#This Row],[Ventas]]=0,0,Indicadores[[#This Row],[EBITDA]]/Indicadores[[#This Row],[Ventas]])</f>
        <v>3.5864283368998641E-2</v>
      </c>
      <c r="P397" s="837">
        <f>IF(Indicadores[[#This Row],[Ventas]]=0,0,Indicadores[[#This Row],[UAI]]/Indicadores[[#This Row],[Ventas]])</f>
        <v>2.662800891778223E-2</v>
      </c>
      <c r="Q397" s="837">
        <f>IFERROR(Indicadores[[#This Row],[Ventas]]/Indicadores[[#This Row],[Activos totales]],0)</f>
        <v>1.6106436154853585</v>
      </c>
    </row>
    <row r="398" spans="1:17" hidden="1" x14ac:dyDescent="0.35">
      <c r="A398" s="13" t="str">
        <f>MID(Indicadores[[#This Row],[CIIU]],2,4)</f>
        <v>8551</v>
      </c>
      <c r="B398" s="13" t="str">
        <f>Indicadores[[#This Row],[CIIU]]&amp;Indicadores[[#This Row],[Año]]</f>
        <v>P85512016</v>
      </c>
      <c r="C398" s="14" t="s">
        <v>3399</v>
      </c>
      <c r="D398" s="14" t="s">
        <v>3400</v>
      </c>
      <c r="E398" s="848">
        <v>2016</v>
      </c>
      <c r="F398" s="856" t="s">
        <v>3427</v>
      </c>
      <c r="G398" s="858" t="s">
        <v>3428</v>
      </c>
      <c r="H398" s="848" t="s">
        <v>3429</v>
      </c>
      <c r="I398" s="693" t="s">
        <v>3430</v>
      </c>
      <c r="J398" s="847">
        <v>5429947</v>
      </c>
      <c r="K398" s="847">
        <v>6908926</v>
      </c>
      <c r="L398" s="841">
        <v>64362143</v>
      </c>
      <c r="M398" s="847">
        <v>77207317</v>
      </c>
      <c r="N398" s="839">
        <f>Indicadores[[#This Row],[Ventas]]/Indicadores[[#This Row],[Activos totales]]</f>
        <v>1.1995765429998191</v>
      </c>
      <c r="O398" s="837">
        <f>IF(Indicadores[[#This Row],[Ventas]]=0,0,Indicadores[[#This Row],[EBITDA]]/Indicadores[[#This Row],[Ventas]])</f>
        <v>8.9485378697980136E-2</v>
      </c>
      <c r="P398" s="837">
        <f>IF(Indicadores[[#This Row],[Ventas]]=0,0,Indicadores[[#This Row],[UAI]]/Indicadores[[#This Row],[Ventas]])</f>
        <v>7.0329435226974671E-2</v>
      </c>
      <c r="Q398" s="837">
        <f>IFERROR(Indicadores[[#This Row],[Ventas]]/Indicadores[[#This Row],[Activos totales]],0)</f>
        <v>1.1995765429998191</v>
      </c>
    </row>
    <row r="399" spans="1:17" hidden="1" x14ac:dyDescent="0.35">
      <c r="A399" s="13" t="str">
        <f>MID(Indicadores[[#This Row],[CIIU]],2,4)</f>
        <v>8553</v>
      </c>
      <c r="B399" s="13" t="str">
        <f>Indicadores[[#This Row],[CIIU]]&amp;Indicadores[[#This Row],[Año]]</f>
        <v>P85532016</v>
      </c>
      <c r="C399" s="14" t="s">
        <v>3399</v>
      </c>
      <c r="D399" s="14" t="s">
        <v>3400</v>
      </c>
      <c r="E399" s="848">
        <v>2016</v>
      </c>
      <c r="F399" s="856" t="s">
        <v>3431</v>
      </c>
      <c r="G399" s="857" t="e">
        <v>#N/A</v>
      </c>
      <c r="H399" s="848" t="s">
        <v>3432</v>
      </c>
      <c r="I399" s="693" t="s">
        <v>3433</v>
      </c>
      <c r="J399" s="847">
        <v>-84165</v>
      </c>
      <c r="K399" s="847">
        <v>-84165</v>
      </c>
      <c r="L399" s="841">
        <v>4422895</v>
      </c>
      <c r="M399" s="847">
        <v>178102</v>
      </c>
      <c r="N399" s="839">
        <f>Indicadores[[#This Row],[Ventas]]/Indicadores[[#This Row],[Activos totales]]</f>
        <v>4.0268195378818622E-2</v>
      </c>
      <c r="O399" s="837">
        <f>IF(Indicadores[[#This Row],[Ventas]]=0,0,Indicadores[[#This Row],[EBITDA]]/Indicadores[[#This Row],[Ventas]])</f>
        <v>-0.47256628224275976</v>
      </c>
      <c r="P399" s="837">
        <f>IF(Indicadores[[#This Row],[Ventas]]=0,0,Indicadores[[#This Row],[UAI]]/Indicadores[[#This Row],[Ventas]])</f>
        <v>-0.47256628224275976</v>
      </c>
      <c r="Q399" s="837">
        <f>IFERROR(Indicadores[[#This Row],[Ventas]]/Indicadores[[#This Row],[Activos totales]],0)</f>
        <v>4.0268195378818622E-2</v>
      </c>
    </row>
    <row r="400" spans="1:17" hidden="1" x14ac:dyDescent="0.35">
      <c r="A400" s="13" t="str">
        <f>MID(Indicadores[[#This Row],[CIIU]],2,4)</f>
        <v>8559</v>
      </c>
      <c r="B400" s="13" t="str">
        <f>Indicadores[[#This Row],[CIIU]]&amp;Indicadores[[#This Row],[Año]]</f>
        <v>P85592016</v>
      </c>
      <c r="C400" s="14" t="s">
        <v>3399</v>
      </c>
      <c r="D400" s="14" t="s">
        <v>3400</v>
      </c>
      <c r="E400" s="848">
        <v>2016</v>
      </c>
      <c r="F400" s="856" t="s">
        <v>3434</v>
      </c>
      <c r="G400" s="858" t="s">
        <v>3435</v>
      </c>
      <c r="H400" s="848" t="s">
        <v>3436</v>
      </c>
      <c r="I400" s="693" t="s">
        <v>3435</v>
      </c>
      <c r="J400" s="847">
        <v>2536118</v>
      </c>
      <c r="K400" s="847">
        <v>5063190</v>
      </c>
      <c r="L400" s="841">
        <v>59437197</v>
      </c>
      <c r="M400" s="847">
        <v>74247803</v>
      </c>
      <c r="N400" s="839">
        <f>Indicadores[[#This Row],[Ventas]]/Indicadores[[#This Row],[Activos totales]]</f>
        <v>1.2491807613336814</v>
      </c>
      <c r="O400" s="837">
        <f>IF(Indicadores[[#This Row],[Ventas]]=0,0,Indicadores[[#This Row],[EBITDA]]/Indicadores[[#This Row],[Ventas]])</f>
        <v>6.8193128892985566E-2</v>
      </c>
      <c r="P400" s="837">
        <f>IF(Indicadores[[#This Row],[Ventas]]=0,0,Indicadores[[#This Row],[UAI]]/Indicadores[[#This Row],[Ventas]])</f>
        <v>3.4157482073914024E-2</v>
      </c>
      <c r="Q400" s="837">
        <f>IFERROR(Indicadores[[#This Row],[Ventas]]/Indicadores[[#This Row],[Activos totales]],0)</f>
        <v>1.2491807613336814</v>
      </c>
    </row>
    <row r="401" spans="1:17" hidden="1" x14ac:dyDescent="0.35">
      <c r="A401" s="13" t="str">
        <f>MID(Indicadores[[#This Row],[CIIU]],2,4)</f>
        <v>8560</v>
      </c>
      <c r="B401" s="13" t="str">
        <f>Indicadores[[#This Row],[CIIU]]&amp;Indicadores[[#This Row],[Año]]</f>
        <v>P85602016</v>
      </c>
      <c r="C401" s="14" t="s">
        <v>3399</v>
      </c>
      <c r="D401" s="14" t="s">
        <v>3400</v>
      </c>
      <c r="E401" s="848">
        <v>2016</v>
      </c>
      <c r="F401" s="856" t="s">
        <v>3437</v>
      </c>
      <c r="G401" s="858" t="s">
        <v>3438</v>
      </c>
      <c r="H401" s="848" t="s">
        <v>3439</v>
      </c>
      <c r="I401" s="693" t="s">
        <v>3438</v>
      </c>
      <c r="J401" s="847">
        <v>4406943</v>
      </c>
      <c r="K401" s="847">
        <v>7167520</v>
      </c>
      <c r="L401" s="841">
        <v>47585248</v>
      </c>
      <c r="M401" s="847">
        <v>34928817</v>
      </c>
      <c r="N401" s="839">
        <f>Indicadores[[#This Row],[Ventas]]/Indicadores[[#This Row],[Activos totales]]</f>
        <v>0.73402616289821587</v>
      </c>
      <c r="O401" s="837">
        <f>IF(Indicadores[[#This Row],[Ventas]]=0,0,Indicadores[[#This Row],[EBITDA]]/Indicadores[[#This Row],[Ventas]])</f>
        <v>0.20520362885465029</v>
      </c>
      <c r="P401" s="837">
        <f>IF(Indicadores[[#This Row],[Ventas]]=0,0,Indicadores[[#This Row],[UAI]]/Indicadores[[#This Row],[Ventas]])</f>
        <v>0.12616926018421981</v>
      </c>
      <c r="Q401" s="837">
        <f>IFERROR(Indicadores[[#This Row],[Ventas]]/Indicadores[[#This Row],[Activos totales]],0)</f>
        <v>0.73402616289821587</v>
      </c>
    </row>
    <row r="402" spans="1:17" hidden="1" x14ac:dyDescent="0.35">
      <c r="A402" s="13" t="str">
        <f>MID(Indicadores[[#This Row],[CIIU]],2,4)</f>
        <v>8610</v>
      </c>
      <c r="B402" s="13" t="str">
        <f>Indicadores[[#This Row],[CIIU]]&amp;Indicadores[[#This Row],[Año]]</f>
        <v>Q86102016</v>
      </c>
      <c r="C402" s="14" t="s">
        <v>3440</v>
      </c>
      <c r="D402" s="14" t="s">
        <v>3441</v>
      </c>
      <c r="E402" s="848">
        <v>2016</v>
      </c>
      <c r="F402" s="856" t="s">
        <v>3442</v>
      </c>
      <c r="G402" s="858" t="s">
        <v>3443</v>
      </c>
      <c r="H402" s="848" t="s">
        <v>3444</v>
      </c>
      <c r="I402" s="693" t="s">
        <v>3443</v>
      </c>
      <c r="J402" s="847">
        <v>41486073</v>
      </c>
      <c r="K402" s="847">
        <v>38645205</v>
      </c>
      <c r="L402" s="841">
        <v>259930996</v>
      </c>
      <c r="M402" s="847">
        <v>253281977</v>
      </c>
      <c r="N402" s="839">
        <f>Indicadores[[#This Row],[Ventas]]/Indicadores[[#This Row],[Activos totales]]</f>
        <v>0.97442006108421175</v>
      </c>
      <c r="O402" s="837">
        <f>IF(Indicadores[[#This Row],[Ventas]]=0,0,Indicadores[[#This Row],[EBITDA]]/Indicadores[[#This Row],[Ventas]])</f>
        <v>0.15257779277362479</v>
      </c>
      <c r="P402" s="837">
        <f>IF(Indicadores[[#This Row],[Ventas]]=0,0,Indicadores[[#This Row],[UAI]]/Indicadores[[#This Row],[Ventas]])</f>
        <v>0.16379401918518663</v>
      </c>
      <c r="Q402" s="837">
        <f>IFERROR(Indicadores[[#This Row],[Ventas]]/Indicadores[[#This Row],[Activos totales]],0)</f>
        <v>0.97442006108421175</v>
      </c>
    </row>
    <row r="403" spans="1:17" hidden="1" x14ac:dyDescent="0.35">
      <c r="A403" s="13" t="str">
        <f>MID(Indicadores[[#This Row],[CIIU]],2,4)</f>
        <v>8621</v>
      </c>
      <c r="B403" s="13" t="str">
        <f>Indicadores[[#This Row],[CIIU]]&amp;Indicadores[[#This Row],[Año]]</f>
        <v>Q86212016</v>
      </c>
      <c r="C403" s="14" t="s">
        <v>3440</v>
      </c>
      <c r="D403" s="14" t="s">
        <v>3441</v>
      </c>
      <c r="E403" s="848">
        <v>2016</v>
      </c>
      <c r="F403" s="856" t="s">
        <v>3445</v>
      </c>
      <c r="G403" s="858" t="s">
        <v>3446</v>
      </c>
      <c r="H403" s="848" t="s">
        <v>3447</v>
      </c>
      <c r="I403" s="693" t="s">
        <v>3446</v>
      </c>
      <c r="J403" s="847">
        <v>31638200</v>
      </c>
      <c r="K403" s="847">
        <v>32211107</v>
      </c>
      <c r="L403" s="841">
        <v>206303461</v>
      </c>
      <c r="M403" s="847">
        <v>178973509</v>
      </c>
      <c r="N403" s="839">
        <f>Indicadores[[#This Row],[Ventas]]/Indicadores[[#This Row],[Activos totales]]</f>
        <v>0.86752547985610384</v>
      </c>
      <c r="O403" s="837">
        <f>IF(Indicadores[[#This Row],[Ventas]]=0,0,Indicadores[[#This Row],[EBITDA]]/Indicadores[[#This Row],[Ventas]])</f>
        <v>0.17997695401949124</v>
      </c>
      <c r="P403" s="837">
        <f>IF(Indicadores[[#This Row],[Ventas]]=0,0,Indicadores[[#This Row],[UAI]]/Indicadores[[#This Row],[Ventas]])</f>
        <v>0.1767758825134283</v>
      </c>
      <c r="Q403" s="837">
        <f>IFERROR(Indicadores[[#This Row],[Ventas]]/Indicadores[[#This Row],[Activos totales]],0)</f>
        <v>0.86752547985610384</v>
      </c>
    </row>
    <row r="404" spans="1:17" hidden="1" x14ac:dyDescent="0.35">
      <c r="A404" s="13" t="str">
        <f>MID(Indicadores[[#This Row],[CIIU]],2,4)</f>
        <v>8622</v>
      </c>
      <c r="B404" s="13" t="str">
        <f>Indicadores[[#This Row],[CIIU]]&amp;Indicadores[[#This Row],[Año]]</f>
        <v>Q86222016</v>
      </c>
      <c r="C404" s="14" t="s">
        <v>3440</v>
      </c>
      <c r="D404" s="14" t="s">
        <v>3441</v>
      </c>
      <c r="E404" s="848">
        <v>2016</v>
      </c>
      <c r="F404" s="856" t="s">
        <v>3448</v>
      </c>
      <c r="G404" s="858" t="s">
        <v>3449</v>
      </c>
      <c r="H404" s="848" t="s">
        <v>3450</v>
      </c>
      <c r="I404" s="693" t="s">
        <v>3449</v>
      </c>
      <c r="J404" s="847">
        <v>3111382</v>
      </c>
      <c r="K404" s="847">
        <v>11961945</v>
      </c>
      <c r="L404" s="841">
        <v>36173091</v>
      </c>
      <c r="M404" s="847">
        <v>81737210</v>
      </c>
      <c r="N404" s="839">
        <f>Indicadores[[#This Row],[Ventas]]/Indicadores[[#This Row],[Activos totales]]</f>
        <v>2.25961364484998</v>
      </c>
      <c r="O404" s="837">
        <f>IF(Indicadores[[#This Row],[Ventas]]=0,0,Indicadores[[#This Row],[EBITDA]]/Indicadores[[#This Row],[Ventas]])</f>
        <v>0.14634638251048696</v>
      </c>
      <c r="P404" s="837">
        <f>IF(Indicadores[[#This Row],[Ventas]]=0,0,Indicadores[[#This Row],[UAI]]/Indicadores[[#This Row],[Ventas]])</f>
        <v>3.806567412809906E-2</v>
      </c>
      <c r="Q404" s="837">
        <f>IFERROR(Indicadores[[#This Row],[Ventas]]/Indicadores[[#This Row],[Activos totales]],0)</f>
        <v>2.25961364484998</v>
      </c>
    </row>
    <row r="405" spans="1:17" hidden="1" x14ac:dyDescent="0.35">
      <c r="A405" s="13" t="str">
        <f>MID(Indicadores[[#This Row],[CIIU]],2,4)</f>
        <v>8691</v>
      </c>
      <c r="B405" s="13" t="str">
        <f>Indicadores[[#This Row],[CIIU]]&amp;Indicadores[[#This Row],[Año]]</f>
        <v>Q86912016</v>
      </c>
      <c r="C405" s="14" t="s">
        <v>3440</v>
      </c>
      <c r="D405" s="14" t="s">
        <v>3441</v>
      </c>
      <c r="E405" s="848">
        <v>2016</v>
      </c>
      <c r="F405" s="856" t="s">
        <v>3451</v>
      </c>
      <c r="G405" s="858" t="s">
        <v>3452</v>
      </c>
      <c r="H405" s="848" t="s">
        <v>3453</v>
      </c>
      <c r="I405" s="693" t="s">
        <v>3452</v>
      </c>
      <c r="J405" s="847">
        <v>22353841</v>
      </c>
      <c r="K405" s="847">
        <v>22835916</v>
      </c>
      <c r="L405" s="841">
        <v>118446186</v>
      </c>
      <c r="M405" s="847">
        <v>97059617</v>
      </c>
      <c r="N405" s="839">
        <f>Indicadores[[#This Row],[Ventas]]/Indicadores[[#This Row],[Activos totales]]</f>
        <v>0.81944062766191561</v>
      </c>
      <c r="O405" s="837">
        <f>IF(Indicadores[[#This Row],[Ventas]]=0,0,Indicadores[[#This Row],[EBITDA]]/Indicadores[[#This Row],[Ventas]])</f>
        <v>0.23527721111860558</v>
      </c>
      <c r="P405" s="837">
        <f>IF(Indicadores[[#This Row],[Ventas]]=0,0,Indicadores[[#This Row],[UAI]]/Indicadores[[#This Row],[Ventas]])</f>
        <v>0.23031041838955535</v>
      </c>
      <c r="Q405" s="837">
        <f>IFERROR(Indicadores[[#This Row],[Ventas]]/Indicadores[[#This Row],[Activos totales]],0)</f>
        <v>0.81944062766191561</v>
      </c>
    </row>
    <row r="406" spans="1:17" hidden="1" x14ac:dyDescent="0.35">
      <c r="A406" s="13" t="str">
        <f>MID(Indicadores[[#This Row],[CIIU]],2,4)</f>
        <v>8692</v>
      </c>
      <c r="B406" s="13" t="str">
        <f>Indicadores[[#This Row],[CIIU]]&amp;Indicadores[[#This Row],[Año]]</f>
        <v>Q86922016</v>
      </c>
      <c r="C406" s="14" t="s">
        <v>3440</v>
      </c>
      <c r="D406" s="14" t="s">
        <v>3441</v>
      </c>
      <c r="E406" s="848">
        <v>2016</v>
      </c>
      <c r="F406" s="856" t="s">
        <v>3454</v>
      </c>
      <c r="G406" s="858" t="s">
        <v>3455</v>
      </c>
      <c r="H406" s="848" t="s">
        <v>3456</v>
      </c>
      <c r="I406" s="693" t="s">
        <v>3455</v>
      </c>
      <c r="J406" s="847">
        <v>538445</v>
      </c>
      <c r="K406" s="847">
        <v>819084</v>
      </c>
      <c r="L406" s="841">
        <v>10954040</v>
      </c>
      <c r="M406" s="847">
        <v>12775642</v>
      </c>
      <c r="N406" s="839">
        <f>Indicadores[[#This Row],[Ventas]]/Indicadores[[#This Row],[Activos totales]]</f>
        <v>1.1662949925324355</v>
      </c>
      <c r="O406" s="837">
        <f>IF(Indicadores[[#This Row],[Ventas]]=0,0,Indicadores[[#This Row],[EBITDA]]/Indicadores[[#This Row],[Ventas]])</f>
        <v>6.4112942425907052E-2</v>
      </c>
      <c r="P406" s="837">
        <f>IF(Indicadores[[#This Row],[Ventas]]=0,0,Indicadores[[#This Row],[UAI]]/Indicadores[[#This Row],[Ventas]])</f>
        <v>4.2146218561853875E-2</v>
      </c>
      <c r="Q406" s="837">
        <f>IFERROR(Indicadores[[#This Row],[Ventas]]/Indicadores[[#This Row],[Activos totales]],0)</f>
        <v>1.1662949925324355</v>
      </c>
    </row>
    <row r="407" spans="1:17" hidden="1" x14ac:dyDescent="0.35">
      <c r="A407" s="13" t="str">
        <f>MID(Indicadores[[#This Row],[CIIU]],2,4)</f>
        <v>8699</v>
      </c>
      <c r="B407" s="13" t="str">
        <f>Indicadores[[#This Row],[CIIU]]&amp;Indicadores[[#This Row],[Año]]</f>
        <v>Q86992016</v>
      </c>
      <c r="C407" s="14" t="s">
        <v>3440</v>
      </c>
      <c r="D407" s="14" t="s">
        <v>3441</v>
      </c>
      <c r="E407" s="848">
        <v>2016</v>
      </c>
      <c r="F407" s="856" t="s">
        <v>3457</v>
      </c>
      <c r="G407" s="858" t="s">
        <v>3458</v>
      </c>
      <c r="H407" s="848" t="s">
        <v>3459</v>
      </c>
      <c r="I407" s="693" t="s">
        <v>3458</v>
      </c>
      <c r="J407" s="847">
        <v>56333362</v>
      </c>
      <c r="K407" s="847">
        <v>64580870</v>
      </c>
      <c r="L407" s="841">
        <v>252654306</v>
      </c>
      <c r="M407" s="847">
        <v>218879468</v>
      </c>
      <c r="N407" s="839">
        <f>Indicadores[[#This Row],[Ventas]]/Indicadores[[#This Row],[Activos totales]]</f>
        <v>0.86631995894026048</v>
      </c>
      <c r="O407" s="837">
        <f>IF(Indicadores[[#This Row],[Ventas]]=0,0,Indicadores[[#This Row],[EBITDA]]/Indicadores[[#This Row],[Ventas]])</f>
        <v>0.2950522065413646</v>
      </c>
      <c r="P407" s="837">
        <f>IF(Indicadores[[#This Row],[Ventas]]=0,0,Indicadores[[#This Row],[UAI]]/Indicadores[[#This Row],[Ventas]])</f>
        <v>0.25737161422559746</v>
      </c>
      <c r="Q407" s="837">
        <f>IFERROR(Indicadores[[#This Row],[Ventas]]/Indicadores[[#This Row],[Activos totales]],0)</f>
        <v>0.86631995894026048</v>
      </c>
    </row>
    <row r="408" spans="1:17" hidden="1" x14ac:dyDescent="0.35">
      <c r="A408" s="13" t="str">
        <f>MID(Indicadores[[#This Row],[CIIU]],2,4)</f>
        <v>8790</v>
      </c>
      <c r="B408" s="13" t="str">
        <f>Indicadores[[#This Row],[CIIU]]&amp;Indicadores[[#This Row],[Año]]</f>
        <v>Q87902016</v>
      </c>
      <c r="C408" s="14" t="s">
        <v>3440</v>
      </c>
      <c r="D408" s="14" t="s">
        <v>3460</v>
      </c>
      <c r="E408" s="848">
        <v>2016</v>
      </c>
      <c r="F408" s="856" t="s">
        <v>3461</v>
      </c>
      <c r="G408" s="857" t="e">
        <v>#N/A</v>
      </c>
      <c r="H408" s="848" t="s">
        <v>3462</v>
      </c>
      <c r="I408" s="693" t="s">
        <v>3463</v>
      </c>
      <c r="J408" s="847">
        <v>304678</v>
      </c>
      <c r="K408" s="847">
        <v>496881</v>
      </c>
      <c r="L408" s="841">
        <v>36188997</v>
      </c>
      <c r="M408" s="847">
        <v>4749751</v>
      </c>
      <c r="N408" s="839">
        <f>Indicadores[[#This Row],[Ventas]]/Indicadores[[#This Row],[Activos totales]]</f>
        <v>0.13124848417324195</v>
      </c>
      <c r="O408" s="837">
        <f>IF(Indicadores[[#This Row],[Ventas]]=0,0,Indicadores[[#This Row],[EBITDA]]/Indicadores[[#This Row],[Ventas]])</f>
        <v>0.10461201018748141</v>
      </c>
      <c r="P408" s="837">
        <f>IF(Indicadores[[#This Row],[Ventas]]=0,0,Indicadores[[#This Row],[UAI]]/Indicadores[[#This Row],[Ventas]])</f>
        <v>6.4146099448160548E-2</v>
      </c>
      <c r="Q408" s="837">
        <f>IFERROR(Indicadores[[#This Row],[Ventas]]/Indicadores[[#This Row],[Activos totales]],0)</f>
        <v>0.13124848417324195</v>
      </c>
    </row>
    <row r="409" spans="1:17" hidden="1" x14ac:dyDescent="0.35">
      <c r="A409" s="13" t="str">
        <f>MID(Indicadores[[#This Row],[CIIU]],2,4)</f>
        <v>8810</v>
      </c>
      <c r="B409" s="13" t="str">
        <f>Indicadores[[#This Row],[CIIU]]&amp;Indicadores[[#This Row],[Año]]</f>
        <v>Q88102016</v>
      </c>
      <c r="C409" s="14" t="s">
        <v>3440</v>
      </c>
      <c r="D409" s="14" t="s">
        <v>3464</v>
      </c>
      <c r="E409" s="848">
        <v>2016</v>
      </c>
      <c r="F409" s="856" t="s">
        <v>3465</v>
      </c>
      <c r="G409" s="858" t="s">
        <v>3466</v>
      </c>
      <c r="H409" s="848" t="s">
        <v>3467</v>
      </c>
      <c r="I409" s="693" t="s">
        <v>3466</v>
      </c>
      <c r="J409" s="847">
        <v>244207</v>
      </c>
      <c r="K409" s="847">
        <v>292367</v>
      </c>
      <c r="L409" s="841">
        <v>8206382</v>
      </c>
      <c r="M409" s="847">
        <v>3006283</v>
      </c>
      <c r="N409" s="839">
        <f>Indicadores[[#This Row],[Ventas]]/Indicadores[[#This Row],[Activos totales]]</f>
        <v>0.36633476238371548</v>
      </c>
      <c r="O409" s="837">
        <f>IF(Indicadores[[#This Row],[Ventas]]=0,0,Indicadores[[#This Row],[EBITDA]]/Indicadores[[#This Row],[Ventas]])</f>
        <v>9.7251988585239646E-2</v>
      </c>
      <c r="P409" s="837">
        <f>IF(Indicadores[[#This Row],[Ventas]]=0,0,Indicadores[[#This Row],[UAI]]/Indicadores[[#This Row],[Ventas]])</f>
        <v>8.1232206016532707E-2</v>
      </c>
      <c r="Q409" s="837">
        <f>IFERROR(Indicadores[[#This Row],[Ventas]]/Indicadores[[#This Row],[Activos totales]],0)</f>
        <v>0.36633476238371548</v>
      </c>
    </row>
    <row r="410" spans="1:17" hidden="1" x14ac:dyDescent="0.35">
      <c r="A410" s="13" t="str">
        <f>MID(Indicadores[[#This Row],[CIIU]],2,4)</f>
        <v>8890</v>
      </c>
      <c r="B410" s="13" t="str">
        <f>Indicadores[[#This Row],[CIIU]]&amp;Indicadores[[#This Row],[Año]]</f>
        <v>Q88902016</v>
      </c>
      <c r="C410" s="14" t="s">
        <v>3440</v>
      </c>
      <c r="D410" s="14" t="s">
        <v>3464</v>
      </c>
      <c r="E410" s="848">
        <v>2016</v>
      </c>
      <c r="F410" s="856" t="s">
        <v>3468</v>
      </c>
      <c r="G410" s="858" t="s">
        <v>3469</v>
      </c>
      <c r="H410" s="848" t="s">
        <v>3470</v>
      </c>
      <c r="I410" s="693" t="s">
        <v>3469</v>
      </c>
      <c r="J410" s="847">
        <v>773018</v>
      </c>
      <c r="K410" s="847">
        <v>902821</v>
      </c>
      <c r="L410" s="841">
        <v>22533195</v>
      </c>
      <c r="M410" s="847">
        <v>3487350</v>
      </c>
      <c r="N410" s="839">
        <f>Indicadores[[#This Row],[Ventas]]/Indicadores[[#This Row],[Activos totales]]</f>
        <v>0.15476500336503546</v>
      </c>
      <c r="O410" s="837">
        <f>IF(Indicadores[[#This Row],[Ventas]]=0,0,Indicadores[[#This Row],[EBITDA]]/Indicadores[[#This Row],[Ventas]])</f>
        <v>0.25888453983683885</v>
      </c>
      <c r="P410" s="837">
        <f>IF(Indicadores[[#This Row],[Ventas]]=0,0,Indicadores[[#This Row],[UAI]]/Indicadores[[#This Row],[Ventas]])</f>
        <v>0.22166344072146471</v>
      </c>
      <c r="Q410" s="837">
        <f>IFERROR(Indicadores[[#This Row],[Ventas]]/Indicadores[[#This Row],[Activos totales]],0)</f>
        <v>0.15476500336503546</v>
      </c>
    </row>
    <row r="411" spans="1:17" hidden="1" x14ac:dyDescent="0.35">
      <c r="A411" s="13" t="str">
        <f>MID(Indicadores[[#This Row],[CIIU]],2,4)</f>
        <v>9006</v>
      </c>
      <c r="B411" s="13" t="str">
        <f>Indicadores[[#This Row],[CIIU]]&amp;Indicadores[[#This Row],[Año]]</f>
        <v>R90062016</v>
      </c>
      <c r="C411" s="14" t="s">
        <v>3471</v>
      </c>
      <c r="D411" s="14" t="s">
        <v>3472</v>
      </c>
      <c r="E411" s="848">
        <v>2016</v>
      </c>
      <c r="F411" s="856" t="s">
        <v>3473</v>
      </c>
      <c r="G411" s="858" t="s">
        <v>3474</v>
      </c>
      <c r="H411" s="848" t="s">
        <v>3475</v>
      </c>
      <c r="I411" s="693" t="s">
        <v>3474</v>
      </c>
      <c r="J411" s="847">
        <v>1108258</v>
      </c>
      <c r="K411" s="847">
        <v>1879136</v>
      </c>
      <c r="L411" s="841">
        <v>13247399</v>
      </c>
      <c r="M411" s="847">
        <v>18727211</v>
      </c>
      <c r="N411" s="839">
        <f>Indicadores[[#This Row],[Ventas]]/Indicadores[[#This Row],[Activos totales]]</f>
        <v>1.4136519176330387</v>
      </c>
      <c r="O411" s="837">
        <f>IF(Indicadores[[#This Row],[Ventas]]=0,0,Indicadores[[#This Row],[EBITDA]]/Indicadores[[#This Row],[Ventas]])</f>
        <v>0.10034254433294952</v>
      </c>
      <c r="P411" s="837">
        <f>IF(Indicadores[[#This Row],[Ventas]]=0,0,Indicadores[[#This Row],[UAI]]/Indicadores[[#This Row],[Ventas]])</f>
        <v>5.9179020303664009E-2</v>
      </c>
      <c r="Q411" s="837">
        <f>IFERROR(Indicadores[[#This Row],[Ventas]]/Indicadores[[#This Row],[Activos totales]],0)</f>
        <v>1.4136519176330387</v>
      </c>
    </row>
    <row r="412" spans="1:17" hidden="1" x14ac:dyDescent="0.35">
      <c r="A412" s="13" t="str">
        <f>MID(Indicadores[[#This Row],[CIIU]],2,4)</f>
        <v>9007</v>
      </c>
      <c r="B412" s="13" t="str">
        <f>Indicadores[[#This Row],[CIIU]]&amp;Indicadores[[#This Row],[Año]]</f>
        <v>R90072016</v>
      </c>
      <c r="C412" s="14" t="s">
        <v>3471</v>
      </c>
      <c r="D412" s="14" t="s">
        <v>3472</v>
      </c>
      <c r="E412" s="848">
        <v>2016</v>
      </c>
      <c r="F412" s="856" t="s">
        <v>3476</v>
      </c>
      <c r="G412" s="858" t="s">
        <v>3477</v>
      </c>
      <c r="H412" s="848" t="s">
        <v>3478</v>
      </c>
      <c r="I412" s="693" t="s">
        <v>3477</v>
      </c>
      <c r="J412" s="847">
        <v>-129822</v>
      </c>
      <c r="K412" s="847">
        <v>12721755</v>
      </c>
      <c r="L412" s="841">
        <v>123212340</v>
      </c>
      <c r="M412" s="847">
        <v>146957946</v>
      </c>
      <c r="N412" s="839">
        <f>Indicadores[[#This Row],[Ventas]]/Indicadores[[#This Row],[Activos totales]]</f>
        <v>1.1927210050551755</v>
      </c>
      <c r="O412" s="837">
        <f>IF(Indicadores[[#This Row],[Ventas]]=0,0,Indicadores[[#This Row],[EBITDA]]/Indicadores[[#This Row],[Ventas]])</f>
        <v>8.6567316339600991E-2</v>
      </c>
      <c r="P412" s="837">
        <f>IF(Indicadores[[#This Row],[Ventas]]=0,0,Indicadores[[#This Row],[UAI]]/Indicadores[[#This Row],[Ventas]])</f>
        <v>-8.8339558039277446E-4</v>
      </c>
      <c r="Q412" s="837">
        <f>IFERROR(Indicadores[[#This Row],[Ventas]]/Indicadores[[#This Row],[Activos totales]],0)</f>
        <v>1.1927210050551755</v>
      </c>
    </row>
    <row r="413" spans="1:17" hidden="1" x14ac:dyDescent="0.35">
      <c r="A413" s="13" t="str">
        <f>MID(Indicadores[[#This Row],[CIIU]],2,4)</f>
        <v>9103</v>
      </c>
      <c r="B413" s="13" t="str">
        <f>Indicadores[[#This Row],[CIIU]]&amp;Indicadores[[#This Row],[Año]]</f>
        <v>R91032016</v>
      </c>
      <c r="C413" s="14" t="s">
        <v>3471</v>
      </c>
      <c r="D413" s="14" t="s">
        <v>3479</v>
      </c>
      <c r="E413" s="848">
        <v>2016</v>
      </c>
      <c r="F413" s="856" t="s">
        <v>3480</v>
      </c>
      <c r="G413" s="858" t="s">
        <v>3481</v>
      </c>
      <c r="H413" s="848" t="s">
        <v>3482</v>
      </c>
      <c r="I413" s="693" t="s">
        <v>3481</v>
      </c>
      <c r="J413" s="847">
        <v>4336723</v>
      </c>
      <c r="K413" s="847">
        <v>7584842</v>
      </c>
      <c r="L413" s="841">
        <v>45798020</v>
      </c>
      <c r="M413" s="847">
        <v>22424950</v>
      </c>
      <c r="N413" s="839">
        <f>Indicadores[[#This Row],[Ventas]]/Indicadores[[#This Row],[Activos totales]]</f>
        <v>0.48964889748508778</v>
      </c>
      <c r="O413" s="837">
        <f>IF(Indicadores[[#This Row],[Ventas]]=0,0,Indicadores[[#This Row],[EBITDA]]/Indicadores[[#This Row],[Ventas]])</f>
        <v>0.33823228145436224</v>
      </c>
      <c r="P413" s="837">
        <f>IF(Indicadores[[#This Row],[Ventas]]=0,0,Indicadores[[#This Row],[UAI]]/Indicadores[[#This Row],[Ventas]])</f>
        <v>0.19338830186912345</v>
      </c>
      <c r="Q413" s="837">
        <f>IFERROR(Indicadores[[#This Row],[Ventas]]/Indicadores[[#This Row],[Activos totales]],0)</f>
        <v>0.48964889748508778</v>
      </c>
    </row>
    <row r="414" spans="1:17" hidden="1" x14ac:dyDescent="0.35">
      <c r="A414" s="13" t="str">
        <f>MID(Indicadores[[#This Row],[CIIU]],2,4)</f>
        <v>9200</v>
      </c>
      <c r="B414" s="13" t="str">
        <f>Indicadores[[#This Row],[CIIU]]&amp;Indicadores[[#This Row],[Año]]</f>
        <v>R92002016</v>
      </c>
      <c r="C414" s="14" t="s">
        <v>3471</v>
      </c>
      <c r="D414" s="14" t="s">
        <v>3483</v>
      </c>
      <c r="E414" s="848">
        <v>2016</v>
      </c>
      <c r="F414" s="856" t="s">
        <v>3484</v>
      </c>
      <c r="G414" s="858" t="s">
        <v>3485</v>
      </c>
      <c r="H414" s="848" t="s">
        <v>3486</v>
      </c>
      <c r="I414" s="693" t="s">
        <v>3485</v>
      </c>
      <c r="J414" s="847">
        <v>15863862</v>
      </c>
      <c r="K414" s="847">
        <v>47153237</v>
      </c>
      <c r="L414" s="841">
        <v>366484913</v>
      </c>
      <c r="M414" s="847">
        <v>439623874</v>
      </c>
      <c r="N414" s="839">
        <f>Indicadores[[#This Row],[Ventas]]/Indicadores[[#This Row],[Activos totales]]</f>
        <v>1.1995688182667428</v>
      </c>
      <c r="O414" s="837">
        <f>IF(Indicadores[[#This Row],[Ventas]]=0,0,Indicadores[[#This Row],[EBITDA]]/Indicadores[[#This Row],[Ventas]])</f>
        <v>0.10725813539416651</v>
      </c>
      <c r="P414" s="837">
        <f>IF(Indicadores[[#This Row],[Ventas]]=0,0,Indicadores[[#This Row],[UAI]]/Indicadores[[#This Row],[Ventas]])</f>
        <v>3.608507849143789E-2</v>
      </c>
      <c r="Q414" s="837">
        <f>IFERROR(Indicadores[[#This Row],[Ventas]]/Indicadores[[#This Row],[Activos totales]],0)</f>
        <v>1.1995688182667428</v>
      </c>
    </row>
    <row r="415" spans="1:17" hidden="1" x14ac:dyDescent="0.35">
      <c r="A415" s="13" t="str">
        <f>MID(Indicadores[[#This Row],[CIIU]],2,4)</f>
        <v>9311</v>
      </c>
      <c r="B415" s="13" t="str">
        <f>Indicadores[[#This Row],[CIIU]]&amp;Indicadores[[#This Row],[Año]]</f>
        <v>R93112016</v>
      </c>
      <c r="C415" s="14" t="s">
        <v>3471</v>
      </c>
      <c r="D415" s="14" t="s">
        <v>3487</v>
      </c>
      <c r="E415" s="848">
        <v>2016</v>
      </c>
      <c r="F415" s="856" t="s">
        <v>3488</v>
      </c>
      <c r="G415" s="858" t="s">
        <v>3489</v>
      </c>
      <c r="H415" s="848" t="s">
        <v>3490</v>
      </c>
      <c r="I415" s="693" t="s">
        <v>3489</v>
      </c>
      <c r="J415" s="847">
        <v>951809</v>
      </c>
      <c r="K415" s="847">
        <v>979069</v>
      </c>
      <c r="L415" s="841">
        <v>62810059</v>
      </c>
      <c r="M415" s="847">
        <v>9848946</v>
      </c>
      <c r="N415" s="839">
        <f>Indicadores[[#This Row],[Ventas]]/Indicadores[[#This Row],[Activos totales]]</f>
        <v>0.15680523401514398</v>
      </c>
      <c r="O415" s="837">
        <f>IF(Indicadores[[#This Row],[Ventas]]=0,0,Indicadores[[#This Row],[EBITDA]]/Indicadores[[#This Row],[Ventas]])</f>
        <v>9.9408505234976408E-2</v>
      </c>
      <c r="P415" s="837">
        <f>IF(Indicadores[[#This Row],[Ventas]]=0,0,Indicadores[[#This Row],[UAI]]/Indicadores[[#This Row],[Ventas]])</f>
        <v>9.6640696375023274E-2</v>
      </c>
      <c r="Q415" s="837">
        <f>IFERROR(Indicadores[[#This Row],[Ventas]]/Indicadores[[#This Row],[Activos totales]],0)</f>
        <v>0.15680523401514398</v>
      </c>
    </row>
    <row r="416" spans="1:17" hidden="1" x14ac:dyDescent="0.35">
      <c r="A416" s="13" t="str">
        <f>MID(Indicadores[[#This Row],[CIIU]],2,4)</f>
        <v>9312</v>
      </c>
      <c r="B416" s="13" t="str">
        <f>Indicadores[[#This Row],[CIIU]]&amp;Indicadores[[#This Row],[Año]]</f>
        <v>R93122016</v>
      </c>
      <c r="C416" s="14" t="s">
        <v>3471</v>
      </c>
      <c r="D416" s="14" t="s">
        <v>3487</v>
      </c>
      <c r="E416" s="848">
        <v>2016</v>
      </c>
      <c r="F416" s="856" t="s">
        <v>3491</v>
      </c>
      <c r="G416" s="858" t="s">
        <v>3492</v>
      </c>
      <c r="H416" s="848" t="s">
        <v>3493</v>
      </c>
      <c r="I416" s="693" t="s">
        <v>3492</v>
      </c>
      <c r="J416" s="847">
        <v>15238925</v>
      </c>
      <c r="K416" s="847">
        <v>58342689</v>
      </c>
      <c r="L416" s="841">
        <v>484018928</v>
      </c>
      <c r="M416" s="847">
        <v>487541325</v>
      </c>
      <c r="N416" s="839">
        <f>Indicadores[[#This Row],[Ventas]]/Indicadores[[#This Row],[Activos totales]]</f>
        <v>1.0072773951517864</v>
      </c>
      <c r="O416" s="837">
        <f>IF(Indicadores[[#This Row],[Ventas]]=0,0,Indicadores[[#This Row],[EBITDA]]/Indicadores[[#This Row],[Ventas]])</f>
        <v>0.11966716667556335</v>
      </c>
      <c r="P416" s="837">
        <f>IF(Indicadores[[#This Row],[Ventas]]=0,0,Indicadores[[#This Row],[UAI]]/Indicadores[[#This Row],[Ventas]])</f>
        <v>3.1256683728297291E-2</v>
      </c>
      <c r="Q416" s="837">
        <f>IFERROR(Indicadores[[#This Row],[Ventas]]/Indicadores[[#This Row],[Activos totales]],0)</f>
        <v>1.0072773951517864</v>
      </c>
    </row>
    <row r="417" spans="1:17" hidden="1" x14ac:dyDescent="0.35">
      <c r="A417" s="13" t="str">
        <f>MID(Indicadores[[#This Row],[CIIU]],2,4)</f>
        <v>9319</v>
      </c>
      <c r="B417" s="13" t="str">
        <f>Indicadores[[#This Row],[CIIU]]&amp;Indicadores[[#This Row],[Año]]</f>
        <v>R93192016</v>
      </c>
      <c r="C417" s="14" t="s">
        <v>3471</v>
      </c>
      <c r="D417" s="14" t="s">
        <v>3487</v>
      </c>
      <c r="E417" s="848">
        <v>2016</v>
      </c>
      <c r="F417" s="856" t="s">
        <v>3494</v>
      </c>
      <c r="G417" s="858" t="s">
        <v>3495</v>
      </c>
      <c r="H417" s="848" t="s">
        <v>3496</v>
      </c>
      <c r="I417" s="693" t="s">
        <v>3495</v>
      </c>
      <c r="J417" s="847">
        <v>-185904</v>
      </c>
      <c r="K417" s="847">
        <v>818610</v>
      </c>
      <c r="L417" s="841">
        <v>21160239</v>
      </c>
      <c r="M417" s="847">
        <v>16947082</v>
      </c>
      <c r="N417" s="839">
        <f>Indicadores[[#This Row],[Ventas]]/Indicadores[[#This Row],[Activos totales]]</f>
        <v>0.800892749840869</v>
      </c>
      <c r="O417" s="837">
        <f>IF(Indicadores[[#This Row],[Ventas]]=0,0,Indicadores[[#This Row],[EBITDA]]/Indicadores[[#This Row],[Ventas]])</f>
        <v>4.8303890899920113E-2</v>
      </c>
      <c r="P417" s="837">
        <f>IF(Indicadores[[#This Row],[Ventas]]=0,0,Indicadores[[#This Row],[UAI]]/Indicadores[[#This Row],[Ventas]])</f>
        <v>-1.0969676077568989E-2</v>
      </c>
      <c r="Q417" s="837">
        <f>IFERROR(Indicadores[[#This Row],[Ventas]]/Indicadores[[#This Row],[Activos totales]],0)</f>
        <v>0.800892749840869</v>
      </c>
    </row>
    <row r="418" spans="1:17" hidden="1" x14ac:dyDescent="0.35">
      <c r="A418" s="13" t="str">
        <f>MID(Indicadores[[#This Row],[CIIU]],2,4)</f>
        <v>9321</v>
      </c>
      <c r="B418" s="13" t="str">
        <f>Indicadores[[#This Row],[CIIU]]&amp;Indicadores[[#This Row],[Año]]</f>
        <v>R93212016</v>
      </c>
      <c r="C418" s="14" t="s">
        <v>3471</v>
      </c>
      <c r="D418" s="14" t="s">
        <v>3487</v>
      </c>
      <c r="E418" s="848">
        <v>2016</v>
      </c>
      <c r="F418" s="856" t="s">
        <v>3497</v>
      </c>
      <c r="G418" s="858" t="s">
        <v>3498</v>
      </c>
      <c r="H418" s="848" t="s">
        <v>3499</v>
      </c>
      <c r="I418" s="693" t="s">
        <v>3498</v>
      </c>
      <c r="J418" s="847">
        <v>3122474</v>
      </c>
      <c r="K418" s="847">
        <v>13843463</v>
      </c>
      <c r="L418" s="841">
        <v>99985336</v>
      </c>
      <c r="M418" s="847">
        <v>95934022</v>
      </c>
      <c r="N418" s="839">
        <f>Indicadores[[#This Row],[Ventas]]/Indicadores[[#This Row],[Activos totales]]</f>
        <v>0.95948091828185689</v>
      </c>
      <c r="O418" s="837">
        <f>IF(Indicadores[[#This Row],[Ventas]]=0,0,Indicadores[[#This Row],[EBITDA]]/Indicadores[[#This Row],[Ventas]])</f>
        <v>0.14430191408007473</v>
      </c>
      <c r="P418" s="837">
        <f>IF(Indicadores[[#This Row],[Ventas]]=0,0,Indicadores[[#This Row],[UAI]]/Indicadores[[#This Row],[Ventas]])</f>
        <v>3.2548140220786323E-2</v>
      </c>
      <c r="Q418" s="837">
        <f>IFERROR(Indicadores[[#This Row],[Ventas]]/Indicadores[[#This Row],[Activos totales]],0)</f>
        <v>0.95948091828185689</v>
      </c>
    </row>
    <row r="419" spans="1:17" hidden="1" x14ac:dyDescent="0.35">
      <c r="A419" s="13" t="str">
        <f>MID(Indicadores[[#This Row],[CIIU]],2,4)</f>
        <v>9329</v>
      </c>
      <c r="B419" s="13" t="str">
        <f>Indicadores[[#This Row],[CIIU]]&amp;Indicadores[[#This Row],[Año]]</f>
        <v>R93292016</v>
      </c>
      <c r="C419" s="14" t="s">
        <v>3471</v>
      </c>
      <c r="D419" s="14" t="s">
        <v>3487</v>
      </c>
      <c r="E419" s="848">
        <v>2016</v>
      </c>
      <c r="F419" s="856" t="s">
        <v>3500</v>
      </c>
      <c r="G419" s="858" t="s">
        <v>3501</v>
      </c>
      <c r="H419" s="848" t="s">
        <v>3502</v>
      </c>
      <c r="I419" s="693" t="s">
        <v>3501</v>
      </c>
      <c r="J419" s="847">
        <v>19026629</v>
      </c>
      <c r="K419" s="847">
        <v>37551969</v>
      </c>
      <c r="L419" s="841">
        <v>622889528</v>
      </c>
      <c r="M419" s="847">
        <v>198778177</v>
      </c>
      <c r="N419" s="839">
        <f>Indicadores[[#This Row],[Ventas]]/Indicadores[[#This Row],[Activos totales]]</f>
        <v>0.31912268237715502</v>
      </c>
      <c r="O419" s="837">
        <f>IF(Indicadores[[#This Row],[Ventas]]=0,0,Indicadores[[#This Row],[EBITDA]]/Indicadores[[#This Row],[Ventas]])</f>
        <v>0.18891394199676154</v>
      </c>
      <c r="P419" s="837">
        <f>IF(Indicadores[[#This Row],[Ventas]]=0,0,Indicadores[[#This Row],[UAI]]/Indicadores[[#This Row],[Ventas]])</f>
        <v>9.5717896638120387E-2</v>
      </c>
      <c r="Q419" s="837">
        <f>IFERROR(Indicadores[[#This Row],[Ventas]]/Indicadores[[#This Row],[Activos totales]],0)</f>
        <v>0.31912268237715502</v>
      </c>
    </row>
    <row r="420" spans="1:17" hidden="1" x14ac:dyDescent="0.35">
      <c r="A420" s="13" t="str">
        <f>MID(Indicadores[[#This Row],[CIIU]],2,4)</f>
        <v>9411</v>
      </c>
      <c r="B420" s="13" t="str">
        <f>Indicadores[[#This Row],[CIIU]]&amp;Indicadores[[#This Row],[Año]]</f>
        <v>S94112016</v>
      </c>
      <c r="C420" s="14" t="s">
        <v>3503</v>
      </c>
      <c r="D420" s="14" t="s">
        <v>3504</v>
      </c>
      <c r="E420" s="848">
        <v>2016</v>
      </c>
      <c r="F420" s="856" t="s">
        <v>3505</v>
      </c>
      <c r="G420" s="857" t="s">
        <v>3506</v>
      </c>
      <c r="H420" s="848" t="s">
        <v>3507</v>
      </c>
      <c r="I420" s="693" t="s">
        <v>3506</v>
      </c>
      <c r="J420" s="847">
        <v>380158</v>
      </c>
      <c r="K420" s="847">
        <v>484175</v>
      </c>
      <c r="L420" s="841">
        <v>6984093</v>
      </c>
      <c r="M420" s="847">
        <v>4769498</v>
      </c>
      <c r="N420" s="839">
        <f>Indicadores[[#This Row],[Ventas]]/Indicadores[[#This Row],[Activos totales]]</f>
        <v>0.68290871842628675</v>
      </c>
      <c r="O420" s="837">
        <f>IF(Indicadores[[#This Row],[Ventas]]=0,0,Indicadores[[#This Row],[EBITDA]]/Indicadores[[#This Row],[Ventas]])</f>
        <v>0.10151487640837673</v>
      </c>
      <c r="P420" s="837">
        <f>IF(Indicadores[[#This Row],[Ventas]]=0,0,Indicadores[[#This Row],[UAI]]/Indicadores[[#This Row],[Ventas]])</f>
        <v>7.9706082275325413E-2</v>
      </c>
      <c r="Q420" s="837">
        <f>IFERROR(Indicadores[[#This Row],[Ventas]]/Indicadores[[#This Row],[Activos totales]],0)</f>
        <v>0.68290871842628675</v>
      </c>
    </row>
    <row r="421" spans="1:17" hidden="1" x14ac:dyDescent="0.35">
      <c r="A421" s="13" t="str">
        <f>MID(Indicadores[[#This Row],[CIIU]],2,4)</f>
        <v>9499</v>
      </c>
      <c r="B421" s="13" t="str">
        <f>Indicadores[[#This Row],[CIIU]]&amp;Indicadores[[#This Row],[Año]]</f>
        <v>S94992016</v>
      </c>
      <c r="C421" s="14" t="s">
        <v>3503</v>
      </c>
      <c r="D421" s="14" t="s">
        <v>3504</v>
      </c>
      <c r="E421" s="848">
        <v>2016</v>
      </c>
      <c r="F421" s="856" t="s">
        <v>3508</v>
      </c>
      <c r="G421" s="858" t="s">
        <v>3509</v>
      </c>
      <c r="H421" s="848" t="s">
        <v>3510</v>
      </c>
      <c r="I421" s="693" t="s">
        <v>3509</v>
      </c>
      <c r="J421" s="847">
        <v>-13306479</v>
      </c>
      <c r="K421" s="847">
        <v>-13343947</v>
      </c>
      <c r="L421" s="841">
        <v>50870797</v>
      </c>
      <c r="M421" s="847">
        <v>10022170</v>
      </c>
      <c r="N421" s="839">
        <f>Indicadores[[#This Row],[Ventas]]/Indicadores[[#This Row],[Activos totales]]</f>
        <v>0.19701224653507984</v>
      </c>
      <c r="O421" s="837">
        <f>IF(Indicadores[[#This Row],[Ventas]]=0,0,Indicadores[[#This Row],[EBITDA]]/Indicadores[[#This Row],[Ventas]])</f>
        <v>-1.3314428911104081</v>
      </c>
      <c r="P421" s="837">
        <f>IF(Indicadores[[#This Row],[Ventas]]=0,0,Indicadores[[#This Row],[UAI]]/Indicadores[[#This Row],[Ventas]])</f>
        <v>-1.3277043793908905</v>
      </c>
      <c r="Q421" s="837">
        <f>IFERROR(Indicadores[[#This Row],[Ventas]]/Indicadores[[#This Row],[Activos totales]],0)</f>
        <v>0.19701224653507984</v>
      </c>
    </row>
    <row r="422" spans="1:17" hidden="1" x14ac:dyDescent="0.35">
      <c r="A422" s="13" t="str">
        <f>MID(Indicadores[[#This Row],[CIIU]],2,4)</f>
        <v>9511</v>
      </c>
      <c r="B422" s="13" t="str">
        <f>Indicadores[[#This Row],[CIIU]]&amp;Indicadores[[#This Row],[Año]]</f>
        <v>S95112016</v>
      </c>
      <c r="C422" s="14" t="s">
        <v>3503</v>
      </c>
      <c r="D422" s="14" t="s">
        <v>3511</v>
      </c>
      <c r="E422" s="848">
        <v>2016</v>
      </c>
      <c r="F422" s="856" t="s">
        <v>3512</v>
      </c>
      <c r="G422" s="858" t="s">
        <v>3513</v>
      </c>
      <c r="H422" s="848" t="s">
        <v>3514</v>
      </c>
      <c r="I422" s="693" t="s">
        <v>3513</v>
      </c>
      <c r="J422" s="847">
        <v>17104120</v>
      </c>
      <c r="K422" s="847">
        <v>22313926</v>
      </c>
      <c r="L422" s="841">
        <v>233630330</v>
      </c>
      <c r="M422" s="847">
        <v>264501393</v>
      </c>
      <c r="N422" s="839">
        <f>Indicadores[[#This Row],[Ventas]]/Indicadores[[#This Row],[Activos totales]]</f>
        <v>1.1321363668835291</v>
      </c>
      <c r="O422" s="837">
        <f>IF(Indicadores[[#This Row],[Ventas]]=0,0,Indicadores[[#This Row],[EBITDA]]/Indicadores[[#This Row],[Ventas]])</f>
        <v>8.436222489005947E-2</v>
      </c>
      <c r="P422" s="837">
        <f>IF(Indicadores[[#This Row],[Ventas]]=0,0,Indicadores[[#This Row],[UAI]]/Indicadores[[#This Row],[Ventas]])</f>
        <v>6.4665519549834655E-2</v>
      </c>
      <c r="Q422" s="837">
        <f>IFERROR(Indicadores[[#This Row],[Ventas]]/Indicadores[[#This Row],[Activos totales]],0)</f>
        <v>1.1321363668835291</v>
      </c>
    </row>
    <row r="423" spans="1:17" hidden="1" x14ac:dyDescent="0.35">
      <c r="A423" s="13" t="str">
        <f>MID(Indicadores[[#This Row],[CIIU]],2,4)</f>
        <v>9512</v>
      </c>
      <c r="B423" s="13" t="str">
        <f>Indicadores[[#This Row],[CIIU]]&amp;Indicadores[[#This Row],[Año]]</f>
        <v>S95122016</v>
      </c>
      <c r="C423" s="14" t="s">
        <v>3503</v>
      </c>
      <c r="D423" s="14" t="s">
        <v>3511</v>
      </c>
      <c r="E423" s="848">
        <v>2016</v>
      </c>
      <c r="F423" s="856" t="s">
        <v>3515</v>
      </c>
      <c r="G423" s="858" t="s">
        <v>3516</v>
      </c>
      <c r="H423" s="848" t="s">
        <v>3517</v>
      </c>
      <c r="I423" s="693" t="s">
        <v>3516</v>
      </c>
      <c r="J423" s="847">
        <v>1203690</v>
      </c>
      <c r="K423" s="847">
        <v>-237079</v>
      </c>
      <c r="L423" s="841">
        <v>113583925</v>
      </c>
      <c r="M423" s="847">
        <v>134765387</v>
      </c>
      <c r="N423" s="839">
        <f>Indicadores[[#This Row],[Ventas]]/Indicadores[[#This Row],[Activos totales]]</f>
        <v>1.1864829200082669</v>
      </c>
      <c r="O423" s="837">
        <f>IF(Indicadores[[#This Row],[Ventas]]=0,0,Indicadores[[#This Row],[EBITDA]]/Indicadores[[#This Row],[Ventas]])</f>
        <v>-1.7591980053453934E-3</v>
      </c>
      <c r="P423" s="837">
        <f>IF(Indicadores[[#This Row],[Ventas]]=0,0,Indicadores[[#This Row],[UAI]]/Indicadores[[#This Row],[Ventas]])</f>
        <v>8.9317444693717985E-3</v>
      </c>
      <c r="Q423" s="837">
        <f>IFERROR(Indicadores[[#This Row],[Ventas]]/Indicadores[[#This Row],[Activos totales]],0)</f>
        <v>1.1864829200082669</v>
      </c>
    </row>
    <row r="424" spans="1:17" hidden="1" x14ac:dyDescent="0.35">
      <c r="A424" s="13" t="str">
        <f>MID(Indicadores[[#This Row],[CIIU]],2,4)</f>
        <v>9521</v>
      </c>
      <c r="B424" s="13" t="str">
        <f>Indicadores[[#This Row],[CIIU]]&amp;Indicadores[[#This Row],[Año]]</f>
        <v>S95212016</v>
      </c>
      <c r="C424" s="14" t="s">
        <v>3503</v>
      </c>
      <c r="D424" s="14" t="s">
        <v>3511</v>
      </c>
      <c r="E424" s="848">
        <v>2016</v>
      </c>
      <c r="F424" s="856" t="s">
        <v>3518</v>
      </c>
      <c r="G424" s="857" t="e">
        <v>#N/A</v>
      </c>
      <c r="H424" s="848" t="s">
        <v>3519</v>
      </c>
      <c r="I424" s="693" t="s">
        <v>3520</v>
      </c>
      <c r="J424" s="847">
        <v>349910</v>
      </c>
      <c r="K424" s="847">
        <v>391287</v>
      </c>
      <c r="L424" s="841">
        <v>1810474</v>
      </c>
      <c r="M424" s="847">
        <v>4717426</v>
      </c>
      <c r="N424" s="839">
        <f>Indicadores[[#This Row],[Ventas]]/Indicadores[[#This Row],[Activos totales]]</f>
        <v>2.6056303487374026</v>
      </c>
      <c r="O424" s="837">
        <f>IF(Indicadores[[#This Row],[Ventas]]=0,0,Indicadores[[#This Row],[EBITDA]]/Indicadores[[#This Row],[Ventas]])</f>
        <v>8.2945021289152182E-2</v>
      </c>
      <c r="P424" s="837">
        <f>IF(Indicadores[[#This Row],[Ventas]]=0,0,Indicadores[[#This Row],[UAI]]/Indicadores[[#This Row],[Ventas]])</f>
        <v>7.4173924508831729E-2</v>
      </c>
      <c r="Q424" s="837">
        <f>IFERROR(Indicadores[[#This Row],[Ventas]]/Indicadores[[#This Row],[Activos totales]],0)</f>
        <v>2.6056303487374026</v>
      </c>
    </row>
    <row r="425" spans="1:17" hidden="1" x14ac:dyDescent="0.35">
      <c r="A425" s="13" t="str">
        <f>MID(Indicadores[[#This Row],[CIIU]],2,4)</f>
        <v>9529</v>
      </c>
      <c r="B425" s="13" t="str">
        <f>Indicadores[[#This Row],[CIIU]]&amp;Indicadores[[#This Row],[Año]]</f>
        <v>S95292016</v>
      </c>
      <c r="C425" s="14" t="s">
        <v>3503</v>
      </c>
      <c r="D425" s="14" t="s">
        <v>3511</v>
      </c>
      <c r="E425" s="848">
        <v>2016</v>
      </c>
      <c r="F425" s="856" t="s">
        <v>3521</v>
      </c>
      <c r="G425" s="857" t="s">
        <v>3522</v>
      </c>
      <c r="H425" s="848" t="s">
        <v>3523</v>
      </c>
      <c r="I425" s="693" t="s">
        <v>3522</v>
      </c>
      <c r="J425" s="847">
        <v>172314</v>
      </c>
      <c r="K425" s="847">
        <v>226317</v>
      </c>
      <c r="L425" s="841">
        <v>2256282</v>
      </c>
      <c r="M425" s="847">
        <v>3659867</v>
      </c>
      <c r="N425" s="839">
        <f>Indicadores[[#This Row],[Ventas]]/Indicadores[[#This Row],[Activos totales]]</f>
        <v>1.6220787117922317</v>
      </c>
      <c r="O425" s="837">
        <f>IF(Indicadores[[#This Row],[Ventas]]=0,0,Indicadores[[#This Row],[EBITDA]]/Indicadores[[#This Row],[Ventas]])</f>
        <v>6.1837493001794877E-2</v>
      </c>
      <c r="P425" s="837">
        <f>IF(Indicadores[[#This Row],[Ventas]]=0,0,Indicadores[[#This Row],[UAI]]/Indicadores[[#This Row],[Ventas]])</f>
        <v>4.7082038773540134E-2</v>
      </c>
      <c r="Q425" s="837">
        <f>IFERROR(Indicadores[[#This Row],[Ventas]]/Indicadores[[#This Row],[Activos totales]],0)</f>
        <v>1.6220787117922317</v>
      </c>
    </row>
    <row r="426" spans="1:17" hidden="1" x14ac:dyDescent="0.35">
      <c r="A426" s="13" t="str">
        <f>MID(Indicadores[[#This Row],[CIIU]],2,4)</f>
        <v>9601</v>
      </c>
      <c r="B426" s="13" t="str">
        <f>Indicadores[[#This Row],[CIIU]]&amp;Indicadores[[#This Row],[Año]]</f>
        <v>S96012016</v>
      </c>
      <c r="C426" s="14" t="s">
        <v>3503</v>
      </c>
      <c r="D426" s="14" t="s">
        <v>3524</v>
      </c>
      <c r="E426" s="848">
        <v>2016</v>
      </c>
      <c r="F426" s="856" t="s">
        <v>3525</v>
      </c>
      <c r="G426" s="858" t="s">
        <v>3526</v>
      </c>
      <c r="H426" s="848" t="s">
        <v>3527</v>
      </c>
      <c r="I426" s="693" t="s">
        <v>3526</v>
      </c>
      <c r="J426" s="847">
        <v>3903974</v>
      </c>
      <c r="K426" s="847">
        <v>6868176</v>
      </c>
      <c r="L426" s="841">
        <v>60546665</v>
      </c>
      <c r="M426" s="847">
        <v>61785363</v>
      </c>
      <c r="N426" s="839">
        <f>Indicadores[[#This Row],[Ventas]]/Indicadores[[#This Row],[Activos totales]]</f>
        <v>1.0204585669582296</v>
      </c>
      <c r="O426" s="837">
        <f>IF(Indicadores[[#This Row],[Ventas]]=0,0,Indicadores[[#This Row],[EBITDA]]/Indicadores[[#This Row],[Ventas]])</f>
        <v>0.111161862074032</v>
      </c>
      <c r="P426" s="837">
        <f>IF(Indicadores[[#This Row],[Ventas]]=0,0,Indicadores[[#This Row],[UAI]]/Indicadores[[#This Row],[Ventas]])</f>
        <v>6.3186065605862027E-2</v>
      </c>
      <c r="Q426" s="837">
        <f>IFERROR(Indicadores[[#This Row],[Ventas]]/Indicadores[[#This Row],[Activos totales]],0)</f>
        <v>1.0204585669582296</v>
      </c>
    </row>
    <row r="427" spans="1:17" hidden="1" x14ac:dyDescent="0.35">
      <c r="A427" s="13" t="str">
        <f>MID(Indicadores[[#This Row],[CIIU]],2,4)</f>
        <v>9603</v>
      </c>
      <c r="B427" s="13" t="str">
        <f>Indicadores[[#This Row],[CIIU]]&amp;Indicadores[[#This Row],[Año]]</f>
        <v>S96032016</v>
      </c>
      <c r="C427" s="14" t="s">
        <v>3503</v>
      </c>
      <c r="D427" s="14" t="s">
        <v>3524</v>
      </c>
      <c r="E427" s="848">
        <v>2016</v>
      </c>
      <c r="F427" s="856" t="s">
        <v>3528</v>
      </c>
      <c r="G427" s="858" t="s">
        <v>3529</v>
      </c>
      <c r="H427" s="848" t="s">
        <v>3530</v>
      </c>
      <c r="I427" s="693" t="s">
        <v>3529</v>
      </c>
      <c r="J427" s="847">
        <v>56725262</v>
      </c>
      <c r="K427" s="847">
        <v>85623972</v>
      </c>
      <c r="L427" s="841">
        <v>1080680132</v>
      </c>
      <c r="M427" s="847">
        <v>690408303</v>
      </c>
      <c r="N427" s="839">
        <f>Indicadores[[#This Row],[Ventas]]/Indicadores[[#This Row],[Activos totales]]</f>
        <v>0.63886462104403707</v>
      </c>
      <c r="O427" s="837">
        <f>IF(Indicadores[[#This Row],[Ventas]]=0,0,Indicadores[[#This Row],[EBITDA]]/Indicadores[[#This Row],[Ventas]])</f>
        <v>0.12401932541648475</v>
      </c>
      <c r="P427" s="837">
        <f>IF(Indicadores[[#This Row],[Ventas]]=0,0,Indicadores[[#This Row],[UAI]]/Indicadores[[#This Row],[Ventas]])</f>
        <v>8.2161905865723639E-2</v>
      </c>
      <c r="Q427" s="837">
        <f>IFERROR(Indicadores[[#This Row],[Ventas]]/Indicadores[[#This Row],[Activos totales]],0)</f>
        <v>0.63886462104403707</v>
      </c>
    </row>
    <row r="428" spans="1:17" hidden="1" x14ac:dyDescent="0.35">
      <c r="A428" s="13" t="str">
        <f>MID(Indicadores[[#This Row],[CIIU]],2,4)</f>
        <v>9609</v>
      </c>
      <c r="B428" s="13" t="str">
        <f>Indicadores[[#This Row],[CIIU]]&amp;Indicadores[[#This Row],[Año]]</f>
        <v>S96092016</v>
      </c>
      <c r="C428" s="14" t="s">
        <v>3503</v>
      </c>
      <c r="D428" s="14" t="s">
        <v>3524</v>
      </c>
      <c r="E428" s="848">
        <v>2016</v>
      </c>
      <c r="F428" s="856" t="s">
        <v>3531</v>
      </c>
      <c r="G428" s="858" t="s">
        <v>3532</v>
      </c>
      <c r="H428" s="848" t="s">
        <v>3533</v>
      </c>
      <c r="I428" s="693" t="s">
        <v>3532</v>
      </c>
      <c r="J428" s="847">
        <v>42635757</v>
      </c>
      <c r="K428" s="847">
        <v>54821397</v>
      </c>
      <c r="L428" s="841">
        <v>381903552</v>
      </c>
      <c r="M428" s="847">
        <v>284504673</v>
      </c>
      <c r="N428" s="839">
        <f>Indicadores[[#This Row],[Ventas]]/Indicadores[[#This Row],[Activos totales]]</f>
        <v>0.74496472083087617</v>
      </c>
      <c r="O428" s="837">
        <f>IF(Indicadores[[#This Row],[Ventas]]=0,0,Indicadores[[#This Row],[EBITDA]]/Indicadores[[#This Row],[Ventas]])</f>
        <v>0.19269067330925704</v>
      </c>
      <c r="P428" s="837">
        <f>IF(Indicadores[[#This Row],[Ventas]]=0,0,Indicadores[[#This Row],[UAI]]/Indicadores[[#This Row],[Ventas]])</f>
        <v>0.14985960177884319</v>
      </c>
      <c r="Q428" s="837">
        <f>IFERROR(Indicadores[[#This Row],[Ventas]]/Indicadores[[#This Row],[Activos totales]],0)</f>
        <v>0.74496472083087617</v>
      </c>
    </row>
    <row r="429" spans="1:17" hidden="1" x14ac:dyDescent="0.35">
      <c r="A429" s="13" t="str">
        <f>MID(Indicadores[[#This Row],[CIIU]],2,4)</f>
        <v>9900</v>
      </c>
      <c r="B429" s="13" t="str">
        <f>Indicadores[[#This Row],[CIIU]]&amp;Indicadores[[#This Row],[Año]]</f>
        <v>U99002016</v>
      </c>
      <c r="C429" s="14" t="s">
        <v>3534</v>
      </c>
      <c r="D429" s="14" t="s">
        <v>3535</v>
      </c>
      <c r="E429" s="848">
        <v>2016</v>
      </c>
      <c r="F429" s="856" t="s">
        <v>3536</v>
      </c>
      <c r="G429" s="858" t="s">
        <v>3537</v>
      </c>
      <c r="H429" s="848" t="s">
        <v>3538</v>
      </c>
      <c r="I429" s="693" t="s">
        <v>3537</v>
      </c>
      <c r="J429" s="847">
        <v>737507</v>
      </c>
      <c r="K429" s="847">
        <v>788362</v>
      </c>
      <c r="L429" s="841">
        <v>7176768</v>
      </c>
      <c r="M429" s="847">
        <v>6233100</v>
      </c>
      <c r="N429" s="839">
        <f>Indicadores[[#This Row],[Ventas]]/Indicadores[[#This Row],[Activos totales]]</f>
        <v>0.86851072794884832</v>
      </c>
      <c r="O429" s="837">
        <f>IF(Indicadores[[#This Row],[Ventas]]=0,0,Indicadores[[#This Row],[EBITDA]]/Indicadores[[#This Row],[Ventas]])</f>
        <v>0.12647992170829925</v>
      </c>
      <c r="P429" s="837">
        <f>IF(Indicadores[[#This Row],[Ventas]]=0,0,Indicadores[[#This Row],[UAI]]/Indicadores[[#This Row],[Ventas]])</f>
        <v>0.1183210601466365</v>
      </c>
      <c r="Q429" s="837">
        <f>IFERROR(Indicadores[[#This Row],[Ventas]]/Indicadores[[#This Row],[Activos totales]],0)</f>
        <v>0.86851072794884832</v>
      </c>
    </row>
    <row r="430" spans="1:17" hidden="1" x14ac:dyDescent="0.35">
      <c r="A430" s="13" t="str">
        <f>MID(Indicadores[[#This Row],[CIIU]],2,4)</f>
        <v>0111</v>
      </c>
      <c r="B430" s="13" t="str">
        <f>Indicadores[[#This Row],[CIIU]]&amp;Indicadores[[#This Row],[Año]]</f>
        <v>A01112017</v>
      </c>
      <c r="C430" s="14" t="s">
        <v>2108</v>
      </c>
      <c r="D430" s="14" t="s">
        <v>2109</v>
      </c>
      <c r="E430" s="848">
        <v>2017</v>
      </c>
      <c r="F430" s="849" t="s">
        <v>2110</v>
      </c>
      <c r="G430" s="693" t="s">
        <v>2111</v>
      </c>
      <c r="H430" s="848" t="s">
        <v>2112</v>
      </c>
      <c r="I430" s="693" t="s">
        <v>2113</v>
      </c>
      <c r="J430" s="847">
        <v>11581512</v>
      </c>
      <c r="K430" s="847">
        <v>29384536</v>
      </c>
      <c r="L430" s="841">
        <v>325540956</v>
      </c>
      <c r="M430" s="847">
        <v>106862735</v>
      </c>
      <c r="N430" s="839">
        <f>Indicadores[[#This Row],[Ventas]]/Indicadores[[#This Row],[Activos totales]]</f>
        <v>0.3282620298012518</v>
      </c>
      <c r="O430" s="837">
        <f>IF(Indicadores[[#This Row],[Ventas]]=0,0,Indicadores[[#This Row],[EBITDA]]/Indicadores[[#This Row],[Ventas]])</f>
        <v>0.27497458304805694</v>
      </c>
      <c r="P430" s="837">
        <f>IF(Indicadores[[#This Row],[Ventas]]=0,0,Indicadores[[#This Row],[UAI]]/Indicadores[[#This Row],[Ventas]])</f>
        <v>0.10837746198429228</v>
      </c>
      <c r="Q430" s="837">
        <f>IFERROR(Indicadores[[#This Row],[Ventas]]/Indicadores[[#This Row],[Activos totales]],0)</f>
        <v>0.3282620298012518</v>
      </c>
    </row>
    <row r="431" spans="1:17" hidden="1" x14ac:dyDescent="0.35">
      <c r="A431" s="13" t="str">
        <f>MID(Indicadores[[#This Row],[CIIU]],2,4)</f>
        <v>0112</v>
      </c>
      <c r="B431" s="13" t="str">
        <f>Indicadores[[#This Row],[CIIU]]&amp;Indicadores[[#This Row],[Año]]</f>
        <v>A01122017</v>
      </c>
      <c r="C431" s="14" t="s">
        <v>2108</v>
      </c>
      <c r="D431" s="14" t="s">
        <v>2109</v>
      </c>
      <c r="E431" s="848">
        <v>2017</v>
      </c>
      <c r="F431" s="849" t="s">
        <v>2114</v>
      </c>
      <c r="G431" s="693" t="s">
        <v>2115</v>
      </c>
      <c r="H431" s="848" t="s">
        <v>2116</v>
      </c>
      <c r="I431" s="693" t="s">
        <v>2117</v>
      </c>
      <c r="J431" s="847">
        <v>28131412</v>
      </c>
      <c r="K431" s="847">
        <v>46219077</v>
      </c>
      <c r="L431" s="841">
        <v>795537655</v>
      </c>
      <c r="M431" s="847">
        <v>280284607</v>
      </c>
      <c r="N431" s="839">
        <f>Indicadores[[#This Row],[Ventas]]/Indicadores[[#This Row],[Activos totales]]</f>
        <v>0.35232098095972592</v>
      </c>
      <c r="O431" s="837">
        <f>IF(Indicadores[[#This Row],[Ventas]]=0,0,Indicadores[[#This Row],[EBITDA]]/Indicadores[[#This Row],[Ventas]])</f>
        <v>0.1649005184219767</v>
      </c>
      <c r="P431" s="837">
        <f>IF(Indicadores[[#This Row],[Ventas]]=0,0,Indicadores[[#This Row],[UAI]]/Indicadores[[#This Row],[Ventas]])</f>
        <v>0.10036730986086581</v>
      </c>
      <c r="Q431" s="837">
        <f>IFERROR(Indicadores[[#This Row],[Ventas]]/Indicadores[[#This Row],[Activos totales]],0)</f>
        <v>0.35232098095972592</v>
      </c>
    </row>
    <row r="432" spans="1:17" hidden="1" x14ac:dyDescent="0.35">
      <c r="A432" s="13" t="str">
        <f>MID(Indicadores[[#This Row],[CIIU]],2,4)</f>
        <v>0113</v>
      </c>
      <c r="B432" s="13" t="str">
        <f>Indicadores[[#This Row],[CIIU]]&amp;Indicadores[[#This Row],[Año]]</f>
        <v>A01132017</v>
      </c>
      <c r="C432" s="14" t="s">
        <v>2108</v>
      </c>
      <c r="D432" s="14" t="s">
        <v>2109</v>
      </c>
      <c r="E432" s="848">
        <v>2017</v>
      </c>
      <c r="F432" s="849" t="s">
        <v>2118</v>
      </c>
      <c r="G432" s="693" t="s">
        <v>2119</v>
      </c>
      <c r="H432" s="848" t="s">
        <v>2120</v>
      </c>
      <c r="I432" s="693" t="s">
        <v>2121</v>
      </c>
      <c r="J432" s="847">
        <v>7114716</v>
      </c>
      <c r="K432" s="847">
        <v>13879585</v>
      </c>
      <c r="L432" s="841">
        <v>247586028</v>
      </c>
      <c r="M432" s="847">
        <v>91746600</v>
      </c>
      <c r="N432" s="839">
        <f>Indicadores[[#This Row],[Ventas]]/Indicadores[[#This Row],[Activos totales]]</f>
        <v>0.37056452959453756</v>
      </c>
      <c r="O432" s="837">
        <f>IF(Indicadores[[#This Row],[Ventas]]=0,0,Indicadores[[#This Row],[EBITDA]]/Indicadores[[#This Row],[Ventas]])</f>
        <v>0.15128173687090313</v>
      </c>
      <c r="P432" s="837">
        <f>IF(Indicadores[[#This Row],[Ventas]]=0,0,Indicadores[[#This Row],[UAI]]/Indicadores[[#This Row],[Ventas]])</f>
        <v>7.7547462249282259E-2</v>
      </c>
      <c r="Q432" s="837">
        <f>IFERROR(Indicadores[[#This Row],[Ventas]]/Indicadores[[#This Row],[Activos totales]],0)</f>
        <v>0.37056452959453756</v>
      </c>
    </row>
    <row r="433" spans="1:17" hidden="1" x14ac:dyDescent="0.35">
      <c r="A433" s="13" t="str">
        <f>MID(Indicadores[[#This Row],[CIIU]],2,4)</f>
        <v>0114</v>
      </c>
      <c r="B433" s="13" t="str">
        <f>Indicadores[[#This Row],[CIIU]]&amp;Indicadores[[#This Row],[Año]]</f>
        <v>A01142017</v>
      </c>
      <c r="C433" s="14" t="s">
        <v>2108</v>
      </c>
      <c r="D433" s="14" t="s">
        <v>2109</v>
      </c>
      <c r="E433" s="848">
        <v>2017</v>
      </c>
      <c r="F433" s="849" t="s">
        <v>2122</v>
      </c>
      <c r="G433" s="838" t="s">
        <v>2123</v>
      </c>
      <c r="H433" s="848" t="s">
        <v>2124</v>
      </c>
      <c r="I433" s="693" t="s">
        <v>2125</v>
      </c>
      <c r="J433" s="847">
        <v>2029162</v>
      </c>
      <c r="K433" s="847">
        <v>8618263</v>
      </c>
      <c r="L433" s="841">
        <v>374545436</v>
      </c>
      <c r="M433" s="847">
        <v>82621443</v>
      </c>
      <c r="N433" s="839">
        <f>Indicadores[[#This Row],[Ventas]]/Indicadores[[#This Row],[Activos totales]]</f>
        <v>0.2205912422331586</v>
      </c>
      <c r="O433" s="837">
        <f>IF(Indicadores[[#This Row],[Ventas]]=0,0,Indicadores[[#This Row],[EBITDA]]/Indicadores[[#This Row],[Ventas]])</f>
        <v>0.10431024546496967</v>
      </c>
      <c r="P433" s="837">
        <f>IF(Indicadores[[#This Row],[Ventas]]=0,0,Indicadores[[#This Row],[UAI]]/Indicadores[[#This Row],[Ventas]])</f>
        <v>2.4559750184948961E-2</v>
      </c>
      <c r="Q433" s="837">
        <f>IFERROR(Indicadores[[#This Row],[Ventas]]/Indicadores[[#This Row],[Activos totales]],0)</f>
        <v>0.2205912422331586</v>
      </c>
    </row>
    <row r="434" spans="1:17" hidden="1" x14ac:dyDescent="0.35">
      <c r="A434" s="13" t="str">
        <f>MID(Indicadores[[#This Row],[CIIU]],2,4)</f>
        <v>0115</v>
      </c>
      <c r="B434" s="13" t="str">
        <f>Indicadores[[#This Row],[CIIU]]&amp;Indicadores[[#This Row],[Año]]</f>
        <v>A01152017</v>
      </c>
      <c r="C434" s="14" t="s">
        <v>2108</v>
      </c>
      <c r="D434" s="14" t="s">
        <v>2109</v>
      </c>
      <c r="E434" s="848">
        <v>2017</v>
      </c>
      <c r="F434" s="849" t="s">
        <v>2126</v>
      </c>
      <c r="G434" s="693" t="s">
        <v>2127</v>
      </c>
      <c r="H434" s="848" t="s">
        <v>2128</v>
      </c>
      <c r="I434" s="693" t="s">
        <v>2129</v>
      </c>
      <c r="J434" s="847">
        <v>-555608</v>
      </c>
      <c r="K434" s="847">
        <v>402142</v>
      </c>
      <c r="L434" s="841">
        <v>80149885</v>
      </c>
      <c r="M434" s="847">
        <v>19084187</v>
      </c>
      <c r="N434" s="839">
        <f>Indicadores[[#This Row],[Ventas]]/Indicadores[[#This Row],[Activos totales]]</f>
        <v>0.23810623059534022</v>
      </c>
      <c r="O434" s="837">
        <f>IF(Indicadores[[#This Row],[Ventas]]=0,0,Indicadores[[#This Row],[EBITDA]]/Indicadores[[#This Row],[Ventas]])</f>
        <v>2.1072000604479509E-2</v>
      </c>
      <c r="P434" s="837">
        <f>IF(Indicadores[[#This Row],[Ventas]]=0,0,Indicadores[[#This Row],[UAI]]/Indicadores[[#This Row],[Ventas]])</f>
        <v>-2.9113527340724549E-2</v>
      </c>
      <c r="Q434" s="837">
        <f>IFERROR(Indicadores[[#This Row],[Ventas]]/Indicadores[[#This Row],[Activos totales]],0)</f>
        <v>0.23810623059534022</v>
      </c>
    </row>
    <row r="435" spans="1:17" hidden="1" x14ac:dyDescent="0.35">
      <c r="A435" s="13" t="str">
        <f>MID(Indicadores[[#This Row],[CIIU]],2,4)</f>
        <v>0119</v>
      </c>
      <c r="B435" s="13" t="str">
        <f>Indicadores[[#This Row],[CIIU]]&amp;Indicadores[[#This Row],[Año]]</f>
        <v>A01192017</v>
      </c>
      <c r="C435" s="14" t="s">
        <v>2108</v>
      </c>
      <c r="D435" s="14" t="s">
        <v>2109</v>
      </c>
      <c r="E435" s="848">
        <v>2017</v>
      </c>
      <c r="F435" s="849" t="s">
        <v>2130</v>
      </c>
      <c r="G435" s="693" t="s">
        <v>2131</v>
      </c>
      <c r="H435" s="848" t="s">
        <v>2132</v>
      </c>
      <c r="I435" s="693" t="s">
        <v>2131</v>
      </c>
      <c r="J435" s="847">
        <v>38763679</v>
      </c>
      <c r="K435" s="847">
        <v>47641673</v>
      </c>
      <c r="L435" s="841">
        <v>416702190</v>
      </c>
      <c r="M435" s="847">
        <v>40744311</v>
      </c>
      <c r="N435" s="839">
        <f>Indicadores[[#This Row],[Ventas]]/Indicadores[[#This Row],[Activos totales]]</f>
        <v>9.7778010237959151E-2</v>
      </c>
      <c r="O435" s="837">
        <f>IF(Indicadores[[#This Row],[Ventas]]=0,0,Indicadores[[#This Row],[EBITDA]]/Indicadores[[#This Row],[Ventas]])</f>
        <v>1.1692840504776236</v>
      </c>
      <c r="P435" s="837">
        <f>IF(Indicadores[[#This Row],[Ventas]]=0,0,Indicadores[[#This Row],[UAI]]/Indicadores[[#This Row],[Ventas]])</f>
        <v>0.95138874725357359</v>
      </c>
      <c r="Q435" s="837">
        <f>IFERROR(Indicadores[[#This Row],[Ventas]]/Indicadores[[#This Row],[Activos totales]],0)</f>
        <v>9.7778010237959151E-2</v>
      </c>
    </row>
    <row r="436" spans="1:17" hidden="1" x14ac:dyDescent="0.35">
      <c r="A436" s="13" t="str">
        <f>MID(Indicadores[[#This Row],[CIIU]],2,4)</f>
        <v>0121</v>
      </c>
      <c r="B436" s="13" t="str">
        <f>Indicadores[[#This Row],[CIIU]]&amp;Indicadores[[#This Row],[Año]]</f>
        <v>A01212017</v>
      </c>
      <c r="C436" s="14" t="s">
        <v>2108</v>
      </c>
      <c r="D436" s="14" t="s">
        <v>2109</v>
      </c>
      <c r="E436" s="848">
        <v>2017</v>
      </c>
      <c r="F436" s="849" t="s">
        <v>2133</v>
      </c>
      <c r="G436" s="693" t="s">
        <v>2134</v>
      </c>
      <c r="H436" s="848" t="s">
        <v>2135</v>
      </c>
      <c r="I436" s="693" t="s">
        <v>2134</v>
      </c>
      <c r="J436" s="847">
        <v>-16145607</v>
      </c>
      <c r="K436" s="847">
        <v>10790136</v>
      </c>
      <c r="L436" s="841">
        <v>761283364</v>
      </c>
      <c r="M436" s="847">
        <v>135766598</v>
      </c>
      <c r="N436" s="839">
        <f>Indicadores[[#This Row],[Ventas]]/Indicadores[[#This Row],[Activos totales]]</f>
        <v>0.17833911053387999</v>
      </c>
      <c r="O436" s="837">
        <f>IF(Indicadores[[#This Row],[Ventas]]=0,0,Indicadores[[#This Row],[EBITDA]]/Indicadores[[#This Row],[Ventas]])</f>
        <v>7.9475630670218317E-2</v>
      </c>
      <c r="P436" s="837">
        <f>IF(Indicadores[[#This Row],[Ventas]]=0,0,Indicadores[[#This Row],[UAI]]/Indicadores[[#This Row],[Ventas]])</f>
        <v>-0.11892179105791544</v>
      </c>
      <c r="Q436" s="837">
        <f>IFERROR(Indicadores[[#This Row],[Ventas]]/Indicadores[[#This Row],[Activos totales]],0)</f>
        <v>0.17833911053387999</v>
      </c>
    </row>
    <row r="437" spans="1:17" hidden="1" x14ac:dyDescent="0.35">
      <c r="A437" s="13" t="str">
        <f>MID(Indicadores[[#This Row],[CIIU]],2,4)</f>
        <v>0122</v>
      </c>
      <c r="B437" s="13" t="str">
        <f>Indicadores[[#This Row],[CIIU]]&amp;Indicadores[[#This Row],[Año]]</f>
        <v>A01222017</v>
      </c>
      <c r="C437" s="14" t="s">
        <v>2108</v>
      </c>
      <c r="D437" s="14" t="s">
        <v>2109</v>
      </c>
      <c r="E437" s="848">
        <v>2017</v>
      </c>
      <c r="F437" s="849" t="s">
        <v>2136</v>
      </c>
      <c r="G437" s="693" t="s">
        <v>2137</v>
      </c>
      <c r="H437" s="848" t="s">
        <v>2138</v>
      </c>
      <c r="I437" s="693" t="s">
        <v>2137</v>
      </c>
      <c r="J437" s="847">
        <v>117047603</v>
      </c>
      <c r="K437" s="847">
        <v>178675415</v>
      </c>
      <c r="L437" s="841">
        <v>3484107206</v>
      </c>
      <c r="M437" s="847">
        <v>1477069918</v>
      </c>
      <c r="N437" s="839">
        <f>Indicadores[[#This Row],[Ventas]]/Indicadores[[#This Row],[Activos totales]]</f>
        <v>0.42394502541607498</v>
      </c>
      <c r="O437" s="837">
        <f>IF(Indicadores[[#This Row],[Ventas]]=0,0,Indicadores[[#This Row],[EBITDA]]/Indicadores[[#This Row],[Ventas]])</f>
        <v>0.12096611868037516</v>
      </c>
      <c r="P437" s="837">
        <f>IF(Indicadores[[#This Row],[Ventas]]=0,0,Indicadores[[#This Row],[UAI]]/Indicadores[[#This Row],[Ventas]])</f>
        <v>7.9243102559753031E-2</v>
      </c>
      <c r="Q437" s="837">
        <f>IFERROR(Indicadores[[#This Row],[Ventas]]/Indicadores[[#This Row],[Activos totales]],0)</f>
        <v>0.42394502541607498</v>
      </c>
    </row>
    <row r="438" spans="1:17" hidden="1" x14ac:dyDescent="0.35">
      <c r="A438" s="13" t="str">
        <f>MID(Indicadores[[#This Row],[CIIU]],2,4)</f>
        <v>0123</v>
      </c>
      <c r="B438" s="13" t="str">
        <f>Indicadores[[#This Row],[CIIU]]&amp;Indicadores[[#This Row],[Año]]</f>
        <v>A01232017</v>
      </c>
      <c r="C438" s="14" t="s">
        <v>2108</v>
      </c>
      <c r="D438" s="14" t="s">
        <v>2109</v>
      </c>
      <c r="E438" s="848">
        <v>2017</v>
      </c>
      <c r="F438" s="849" t="s">
        <v>2139</v>
      </c>
      <c r="G438" s="693" t="s">
        <v>2140</v>
      </c>
      <c r="H438" s="848" t="s">
        <v>2141</v>
      </c>
      <c r="I438" s="693" t="s">
        <v>2140</v>
      </c>
      <c r="J438" s="847">
        <v>5266622</v>
      </c>
      <c r="K438" s="847">
        <v>10541512</v>
      </c>
      <c r="L438" s="841">
        <v>220906004</v>
      </c>
      <c r="M438" s="847">
        <v>36999562</v>
      </c>
      <c r="N438" s="839">
        <f>Indicadores[[#This Row],[Ventas]]/Indicadores[[#This Row],[Activos totales]]</f>
        <v>0.16749006966782126</v>
      </c>
      <c r="O438" s="837">
        <f>IF(Indicadores[[#This Row],[Ventas]]=0,0,Indicadores[[#This Row],[EBITDA]]/Indicadores[[#This Row],[Ventas]])</f>
        <v>0.28490910243748291</v>
      </c>
      <c r="P438" s="837">
        <f>IF(Indicadores[[#This Row],[Ventas]]=0,0,Indicadores[[#This Row],[UAI]]/Indicadores[[#This Row],[Ventas]])</f>
        <v>0.14234282016635766</v>
      </c>
      <c r="Q438" s="837">
        <f>IFERROR(Indicadores[[#This Row],[Ventas]]/Indicadores[[#This Row],[Activos totales]],0)</f>
        <v>0.16749006966782126</v>
      </c>
    </row>
    <row r="439" spans="1:17" hidden="1" x14ac:dyDescent="0.35">
      <c r="A439" s="13" t="str">
        <f>MID(Indicadores[[#This Row],[CIIU]],2,4)</f>
        <v>0124</v>
      </c>
      <c r="B439" s="13" t="str">
        <f>Indicadores[[#This Row],[CIIU]]&amp;Indicadores[[#This Row],[Año]]</f>
        <v>A01242017</v>
      </c>
      <c r="C439" s="14" t="s">
        <v>2108</v>
      </c>
      <c r="D439" s="14" t="s">
        <v>2109</v>
      </c>
      <c r="E439" s="848">
        <v>2017</v>
      </c>
      <c r="F439" s="849" t="s">
        <v>2142</v>
      </c>
      <c r="G439" s="693" t="s">
        <v>2143</v>
      </c>
      <c r="H439" s="848" t="s">
        <v>2144</v>
      </c>
      <c r="I439" s="693" t="s">
        <v>2143</v>
      </c>
      <c r="J439" s="847">
        <v>-76452606</v>
      </c>
      <c r="K439" s="847">
        <v>-60398950</v>
      </c>
      <c r="L439" s="841">
        <v>3757669286</v>
      </c>
      <c r="M439" s="847">
        <v>555877016</v>
      </c>
      <c r="N439" s="839">
        <f>Indicadores[[#This Row],[Ventas]]/Indicadores[[#This Row],[Activos totales]]</f>
        <v>0.14793133021871793</v>
      </c>
      <c r="O439" s="837">
        <f>IF(Indicadores[[#This Row],[Ventas]]=0,0,Indicadores[[#This Row],[EBITDA]]/Indicadores[[#This Row],[Ventas]])</f>
        <v>-0.10865523894947296</v>
      </c>
      <c r="P439" s="837">
        <f>IF(Indicadores[[#This Row],[Ventas]]=0,0,Indicadores[[#This Row],[UAI]]/Indicadores[[#This Row],[Ventas]])</f>
        <v>-0.13753510902490704</v>
      </c>
      <c r="Q439" s="837">
        <f>IFERROR(Indicadores[[#This Row],[Ventas]]/Indicadores[[#This Row],[Activos totales]],0)</f>
        <v>0.14793133021871793</v>
      </c>
    </row>
    <row r="440" spans="1:17" hidden="1" x14ac:dyDescent="0.35">
      <c r="A440" s="13" t="str">
        <f>MID(Indicadores[[#This Row],[CIIU]],2,4)</f>
        <v>0125</v>
      </c>
      <c r="B440" s="13" t="str">
        <f>Indicadores[[#This Row],[CIIU]]&amp;Indicadores[[#This Row],[Año]]</f>
        <v>A01252017</v>
      </c>
      <c r="C440" s="14" t="s">
        <v>2108</v>
      </c>
      <c r="D440" s="14" t="s">
        <v>2109</v>
      </c>
      <c r="E440" s="848">
        <v>2017</v>
      </c>
      <c r="F440" s="849" t="s">
        <v>2145</v>
      </c>
      <c r="G440" s="693" t="s">
        <v>2146</v>
      </c>
      <c r="H440" s="848" t="s">
        <v>2147</v>
      </c>
      <c r="I440" s="693" t="s">
        <v>2146</v>
      </c>
      <c r="J440" s="847">
        <v>135414717</v>
      </c>
      <c r="K440" s="847">
        <v>415632748</v>
      </c>
      <c r="L440" s="841">
        <v>3133721945</v>
      </c>
      <c r="M440" s="847">
        <v>3349307922</v>
      </c>
      <c r="N440" s="839">
        <f>Indicadores[[#This Row],[Ventas]]/Indicadores[[#This Row],[Activos totales]]</f>
        <v>1.0687955028505249</v>
      </c>
      <c r="O440" s="837">
        <f>IF(Indicadores[[#This Row],[Ventas]]=0,0,Indicadores[[#This Row],[EBITDA]]/Indicadores[[#This Row],[Ventas]])</f>
        <v>0.12409511388006683</v>
      </c>
      <c r="P440" s="837">
        <f>IF(Indicadores[[#This Row],[Ventas]]=0,0,Indicadores[[#This Row],[UAI]]/Indicadores[[#This Row],[Ventas]])</f>
        <v>4.0430656169450879E-2</v>
      </c>
      <c r="Q440" s="837">
        <f>IFERROR(Indicadores[[#This Row],[Ventas]]/Indicadores[[#This Row],[Activos totales]],0)</f>
        <v>1.0687955028505249</v>
      </c>
    </row>
    <row r="441" spans="1:17" hidden="1" x14ac:dyDescent="0.35">
      <c r="A441" s="13" t="str">
        <f>MID(Indicadores[[#This Row],[CIIU]],2,4)</f>
        <v>0126</v>
      </c>
      <c r="B441" s="13" t="str">
        <f>Indicadores[[#This Row],[CIIU]]&amp;Indicadores[[#This Row],[Año]]</f>
        <v>A01262017</v>
      </c>
      <c r="C441" s="14" t="s">
        <v>2108</v>
      </c>
      <c r="D441" s="14" t="s">
        <v>2109</v>
      </c>
      <c r="E441" s="848">
        <v>2017</v>
      </c>
      <c r="F441" s="849" t="s">
        <v>2148</v>
      </c>
      <c r="G441" s="693" t="s">
        <v>2149</v>
      </c>
      <c r="H441" s="848" t="s">
        <v>2150</v>
      </c>
      <c r="I441" s="693" t="s">
        <v>2149</v>
      </c>
      <c r="J441" s="847">
        <v>89524561</v>
      </c>
      <c r="K441" s="847">
        <v>226838896</v>
      </c>
      <c r="L441" s="841">
        <v>5368959827</v>
      </c>
      <c r="M441" s="847">
        <v>1334116061</v>
      </c>
      <c r="N441" s="839">
        <f>Indicadores[[#This Row],[Ventas]]/Indicadores[[#This Row],[Activos totales]]</f>
        <v>0.24848687715837514</v>
      </c>
      <c r="O441" s="837">
        <f>IF(Indicadores[[#This Row],[Ventas]]=0,0,Indicadores[[#This Row],[EBITDA]]/Indicadores[[#This Row],[Ventas]])</f>
        <v>0.17002935698860461</v>
      </c>
      <c r="P441" s="837">
        <f>IF(Indicadores[[#This Row],[Ventas]]=0,0,Indicadores[[#This Row],[UAI]]/Indicadores[[#This Row],[Ventas]])</f>
        <v>6.7104027615780271E-2</v>
      </c>
      <c r="Q441" s="837">
        <f>IFERROR(Indicadores[[#This Row],[Ventas]]/Indicadores[[#This Row],[Activos totales]],0)</f>
        <v>0.24848687715837514</v>
      </c>
    </row>
    <row r="442" spans="1:17" hidden="1" x14ac:dyDescent="0.35">
      <c r="A442" s="13" t="str">
        <f>MID(Indicadores[[#This Row],[CIIU]],2,4)</f>
        <v>0127</v>
      </c>
      <c r="B442" s="13" t="str">
        <f>Indicadores[[#This Row],[CIIU]]&amp;Indicadores[[#This Row],[Año]]</f>
        <v>A01272017</v>
      </c>
      <c r="C442" s="14" t="s">
        <v>2108</v>
      </c>
      <c r="D442" s="14" t="s">
        <v>2109</v>
      </c>
      <c r="E442" s="848">
        <v>2017</v>
      </c>
      <c r="F442" s="849" t="s">
        <v>2151</v>
      </c>
      <c r="G442" s="693" t="s">
        <v>2152</v>
      </c>
      <c r="H442" s="848" t="s">
        <v>2153</v>
      </c>
      <c r="I442" s="693" t="s">
        <v>2152</v>
      </c>
      <c r="J442" s="847">
        <v>6523635</v>
      </c>
      <c r="K442" s="847">
        <v>7941035</v>
      </c>
      <c r="L442" s="841">
        <v>47626805</v>
      </c>
      <c r="M442" s="847">
        <v>42575262</v>
      </c>
      <c r="N442" s="839">
        <f>Indicadores[[#This Row],[Ventas]]/Indicadores[[#This Row],[Activos totales]]</f>
        <v>0.89393487553910034</v>
      </c>
      <c r="O442" s="837">
        <f>IF(Indicadores[[#This Row],[Ventas]]=0,0,Indicadores[[#This Row],[EBITDA]]/Indicadores[[#This Row],[Ventas]])</f>
        <v>0.18651758384951336</v>
      </c>
      <c r="P442" s="837">
        <f>IF(Indicadores[[#This Row],[Ventas]]=0,0,Indicadores[[#This Row],[UAI]]/Indicadores[[#This Row],[Ventas]])</f>
        <v>0.15322595078804213</v>
      </c>
      <c r="Q442" s="837">
        <f>IFERROR(Indicadores[[#This Row],[Ventas]]/Indicadores[[#This Row],[Activos totales]],0)</f>
        <v>0.89393487553910034</v>
      </c>
    </row>
    <row r="443" spans="1:17" hidden="1" x14ac:dyDescent="0.35">
      <c r="A443" s="13" t="str">
        <f>MID(Indicadores[[#This Row],[CIIU]],2,4)</f>
        <v>0128</v>
      </c>
      <c r="B443" s="13" t="str">
        <f>Indicadores[[#This Row],[CIIU]]&amp;Indicadores[[#This Row],[Año]]</f>
        <v>A01282017</v>
      </c>
      <c r="C443" s="14" t="s">
        <v>2108</v>
      </c>
      <c r="D443" s="14" t="s">
        <v>2109</v>
      </c>
      <c r="E443" s="848">
        <v>2017</v>
      </c>
      <c r="F443" s="849" t="s">
        <v>2154</v>
      </c>
      <c r="G443" s="693" t="s">
        <v>2155</v>
      </c>
      <c r="H443" s="848" t="s">
        <v>2156</v>
      </c>
      <c r="I443" s="693" t="s">
        <v>2157</v>
      </c>
      <c r="J443" s="847">
        <v>6831586</v>
      </c>
      <c r="K443" s="847">
        <v>8171882</v>
      </c>
      <c r="L443" s="841">
        <v>46220172</v>
      </c>
      <c r="M443" s="847">
        <v>30289792</v>
      </c>
      <c r="N443" s="839">
        <f>Indicadores[[#This Row],[Ventas]]/Indicadores[[#This Row],[Activos totales]]</f>
        <v>0.65533706797975566</v>
      </c>
      <c r="O443" s="837">
        <f>IF(Indicadores[[#This Row],[Ventas]]=0,0,Indicadores[[#This Row],[EBITDA]]/Indicadores[[#This Row],[Ventas]])</f>
        <v>0.26978996752437256</v>
      </c>
      <c r="P443" s="837">
        <f>IF(Indicadores[[#This Row],[Ventas]]=0,0,Indicadores[[#This Row],[UAI]]/Indicadores[[#This Row],[Ventas]])</f>
        <v>0.22554086868605766</v>
      </c>
      <c r="Q443" s="837">
        <f>IFERROR(Indicadores[[#This Row],[Ventas]]/Indicadores[[#This Row],[Activos totales]],0)</f>
        <v>0.65533706797975566</v>
      </c>
    </row>
    <row r="444" spans="1:17" hidden="1" x14ac:dyDescent="0.35">
      <c r="A444" s="13" t="str">
        <f>MID(Indicadores[[#This Row],[CIIU]],2,4)</f>
        <v>0129</v>
      </c>
      <c r="B444" s="13" t="str">
        <f>Indicadores[[#This Row],[CIIU]]&amp;Indicadores[[#This Row],[Año]]</f>
        <v>A01292017</v>
      </c>
      <c r="C444" s="14" t="s">
        <v>2108</v>
      </c>
      <c r="D444" s="14" t="s">
        <v>2109</v>
      </c>
      <c r="E444" s="848">
        <v>2017</v>
      </c>
      <c r="F444" s="849" t="s">
        <v>2158</v>
      </c>
      <c r="G444" s="693" t="s">
        <v>2159</v>
      </c>
      <c r="H444" s="848" t="s">
        <v>2160</v>
      </c>
      <c r="I444" s="693" t="s">
        <v>2159</v>
      </c>
      <c r="J444" s="847">
        <v>-97705758</v>
      </c>
      <c r="K444" s="847">
        <v>-92125919</v>
      </c>
      <c r="L444" s="841">
        <v>409922779</v>
      </c>
      <c r="M444" s="847">
        <v>73632118</v>
      </c>
      <c r="N444" s="839">
        <f>Indicadores[[#This Row],[Ventas]]/Indicadores[[#This Row],[Activos totales]]</f>
        <v>0.17962436286079139</v>
      </c>
      <c r="O444" s="837">
        <f>IF(Indicadores[[#This Row],[Ventas]]=0,0,Indicadores[[#This Row],[EBITDA]]/Indicadores[[#This Row],[Ventas]])</f>
        <v>-1.2511648653105429</v>
      </c>
      <c r="P444" s="837">
        <f>IF(Indicadores[[#This Row],[Ventas]]=0,0,Indicadores[[#This Row],[UAI]]/Indicadores[[#This Row],[Ventas]])</f>
        <v>-1.3269448258978507</v>
      </c>
      <c r="Q444" s="837">
        <f>IFERROR(Indicadores[[#This Row],[Ventas]]/Indicadores[[#This Row],[Activos totales]],0)</f>
        <v>0.17962436286079139</v>
      </c>
    </row>
    <row r="445" spans="1:17" hidden="1" x14ac:dyDescent="0.35">
      <c r="A445" s="13" t="str">
        <f>MID(Indicadores[[#This Row],[CIIU]],2,4)</f>
        <v>0130</v>
      </c>
      <c r="B445" s="13" t="str">
        <f>Indicadores[[#This Row],[CIIU]]&amp;Indicadores[[#This Row],[Año]]</f>
        <v>A01302017</v>
      </c>
      <c r="C445" s="14" t="s">
        <v>2108</v>
      </c>
      <c r="D445" s="14" t="s">
        <v>2109</v>
      </c>
      <c r="E445" s="848">
        <v>2017</v>
      </c>
      <c r="F445" s="849" t="s">
        <v>2161</v>
      </c>
      <c r="G445" s="693" t="s">
        <v>2162</v>
      </c>
      <c r="H445" s="848" t="s">
        <v>2163</v>
      </c>
      <c r="I445" s="693" t="s">
        <v>2164</v>
      </c>
      <c r="J445" s="847">
        <v>3734370</v>
      </c>
      <c r="K445" s="847">
        <v>4955438</v>
      </c>
      <c r="L445" s="841">
        <v>99927503</v>
      </c>
      <c r="M445" s="847">
        <v>33806587</v>
      </c>
      <c r="N445" s="839">
        <f>Indicadores[[#This Row],[Ventas]]/Indicadores[[#This Row],[Activos totales]]</f>
        <v>0.33831113542384822</v>
      </c>
      <c r="O445" s="837">
        <f>IF(Indicadores[[#This Row],[Ventas]]=0,0,Indicadores[[#This Row],[EBITDA]]/Indicadores[[#This Row],[Ventas]])</f>
        <v>0.14658202556797584</v>
      </c>
      <c r="P445" s="837">
        <f>IF(Indicadores[[#This Row],[Ventas]]=0,0,Indicadores[[#This Row],[UAI]]/Indicadores[[#This Row],[Ventas]])</f>
        <v>0.11046279235463786</v>
      </c>
      <c r="Q445" s="837">
        <f>IFERROR(Indicadores[[#This Row],[Ventas]]/Indicadores[[#This Row],[Activos totales]],0)</f>
        <v>0.33831113542384822</v>
      </c>
    </row>
    <row r="446" spans="1:17" hidden="1" x14ac:dyDescent="0.35">
      <c r="A446" s="13" t="str">
        <f>MID(Indicadores[[#This Row],[CIIU]],2,4)</f>
        <v>0141</v>
      </c>
      <c r="B446" s="13" t="str">
        <f>Indicadores[[#This Row],[CIIU]]&amp;Indicadores[[#This Row],[Año]]</f>
        <v>A01412017</v>
      </c>
      <c r="C446" s="14" t="s">
        <v>2108</v>
      </c>
      <c r="D446" s="14" t="s">
        <v>2109</v>
      </c>
      <c r="E446" s="848">
        <v>2017</v>
      </c>
      <c r="F446" s="849" t="s">
        <v>2165</v>
      </c>
      <c r="G446" s="693" t="s">
        <v>2166</v>
      </c>
      <c r="H446" s="848" t="s">
        <v>2167</v>
      </c>
      <c r="I446" s="693" t="s">
        <v>2166</v>
      </c>
      <c r="J446" s="847">
        <v>92643716</v>
      </c>
      <c r="K446" s="847">
        <v>95230327</v>
      </c>
      <c r="L446" s="841">
        <v>2954583646</v>
      </c>
      <c r="M446" s="847">
        <v>516046964</v>
      </c>
      <c r="N446" s="839">
        <f>Indicadores[[#This Row],[Ventas]]/Indicadores[[#This Row],[Activos totales]]</f>
        <v>0.17465979164226375</v>
      </c>
      <c r="O446" s="837">
        <f>IF(Indicadores[[#This Row],[Ventas]]=0,0,Indicadores[[#This Row],[EBITDA]]/Indicadores[[#This Row],[Ventas]])</f>
        <v>0.18453810145853314</v>
      </c>
      <c r="P446" s="837">
        <f>IF(Indicadores[[#This Row],[Ventas]]=0,0,Indicadores[[#This Row],[UAI]]/Indicadores[[#This Row],[Ventas]])</f>
        <v>0.17952574564511922</v>
      </c>
      <c r="Q446" s="837">
        <f>IFERROR(Indicadores[[#This Row],[Ventas]]/Indicadores[[#This Row],[Activos totales]],0)</f>
        <v>0.17465979164226375</v>
      </c>
    </row>
    <row r="447" spans="1:17" hidden="1" x14ac:dyDescent="0.35">
      <c r="A447" s="13" t="str">
        <f>MID(Indicadores[[#This Row],[CIIU]],2,4)</f>
        <v>0143</v>
      </c>
      <c r="B447" s="13" t="str">
        <f>Indicadores[[#This Row],[CIIU]]&amp;Indicadores[[#This Row],[Año]]</f>
        <v>A01432017</v>
      </c>
      <c r="C447" s="14" t="s">
        <v>2108</v>
      </c>
      <c r="D447" s="14" t="s">
        <v>2109</v>
      </c>
      <c r="E447" s="848">
        <v>2017</v>
      </c>
      <c r="F447" s="849" t="s">
        <v>2168</v>
      </c>
      <c r="G447" s="693" t="s">
        <v>2169</v>
      </c>
      <c r="H447" s="848" t="s">
        <v>2170</v>
      </c>
      <c r="I447" s="693" t="s">
        <v>2171</v>
      </c>
      <c r="J447" s="847">
        <v>6119053</v>
      </c>
      <c r="K447" s="847">
        <v>7115922</v>
      </c>
      <c r="L447" s="841">
        <v>35415455</v>
      </c>
      <c r="M447" s="847">
        <v>115766180</v>
      </c>
      <c r="N447" s="839">
        <f>Indicadores[[#This Row],[Ventas]]/Indicadores[[#This Row],[Activos totales]]</f>
        <v>3.2688039727288554</v>
      </c>
      <c r="O447" s="837">
        <f>IF(Indicadores[[#This Row],[Ventas]]=0,0,Indicadores[[#This Row],[EBITDA]]/Indicadores[[#This Row],[Ventas]])</f>
        <v>6.1468055696404594E-2</v>
      </c>
      <c r="P447" s="837">
        <f>IF(Indicadores[[#This Row],[Ventas]]=0,0,Indicadores[[#This Row],[UAI]]/Indicadores[[#This Row],[Ventas]])</f>
        <v>5.2857000205068526E-2</v>
      </c>
      <c r="Q447" s="837">
        <f>IFERROR(Indicadores[[#This Row],[Ventas]]/Indicadores[[#This Row],[Activos totales]],0)</f>
        <v>3.2688039727288554</v>
      </c>
    </row>
    <row r="448" spans="1:17" hidden="1" x14ac:dyDescent="0.35">
      <c r="A448" s="13" t="str">
        <f>MID(Indicadores[[#This Row],[CIIU]],2,4)</f>
        <v>0144</v>
      </c>
      <c r="B448" s="13" t="str">
        <f>Indicadores[[#This Row],[CIIU]]&amp;Indicadores[[#This Row],[Año]]</f>
        <v>A01442017</v>
      </c>
      <c r="C448" s="14" t="s">
        <v>2108</v>
      </c>
      <c r="D448" s="14" t="s">
        <v>2109</v>
      </c>
      <c r="E448" s="848">
        <v>2017</v>
      </c>
      <c r="F448" s="849" t="s">
        <v>2172</v>
      </c>
      <c r="G448" s="693" t="s">
        <v>2173</v>
      </c>
      <c r="H448" s="848" t="s">
        <v>2174</v>
      </c>
      <c r="I448" s="693" t="s">
        <v>2173</v>
      </c>
      <c r="J448" s="847">
        <v>83785500</v>
      </c>
      <c r="K448" s="847">
        <v>215917707</v>
      </c>
      <c r="L448" s="841">
        <v>1805072955</v>
      </c>
      <c r="M448" s="847">
        <v>1397529118</v>
      </c>
      <c r="N448" s="839">
        <f>Indicadores[[#This Row],[Ventas]]/Indicadores[[#This Row],[Activos totales]]</f>
        <v>0.77422306623612336</v>
      </c>
      <c r="O448" s="837">
        <f>IF(Indicadores[[#This Row],[Ventas]]=0,0,Indicadores[[#This Row],[EBITDA]]/Indicadores[[#This Row],[Ventas]])</f>
        <v>0.15449961236514287</v>
      </c>
      <c r="P448" s="837">
        <f>IF(Indicadores[[#This Row],[Ventas]]=0,0,Indicadores[[#This Row],[UAI]]/Indicadores[[#This Row],[Ventas]])</f>
        <v>5.9952596994834136E-2</v>
      </c>
      <c r="Q448" s="837">
        <f>IFERROR(Indicadores[[#This Row],[Ventas]]/Indicadores[[#This Row],[Activos totales]],0)</f>
        <v>0.77422306623612336</v>
      </c>
    </row>
    <row r="449" spans="1:17" hidden="1" x14ac:dyDescent="0.35">
      <c r="A449" s="13" t="str">
        <f>MID(Indicadores[[#This Row],[CIIU]],2,4)</f>
        <v>0145</v>
      </c>
      <c r="B449" s="13" t="str">
        <f>Indicadores[[#This Row],[CIIU]]&amp;Indicadores[[#This Row],[Año]]</f>
        <v>A01452017</v>
      </c>
      <c r="C449" s="14" t="s">
        <v>2108</v>
      </c>
      <c r="D449" s="14" t="s">
        <v>2109</v>
      </c>
      <c r="E449" s="848">
        <v>2017</v>
      </c>
      <c r="F449" s="849" t="s">
        <v>2175</v>
      </c>
      <c r="G449" s="693" t="s">
        <v>2176</v>
      </c>
      <c r="H449" s="848" t="s">
        <v>2177</v>
      </c>
      <c r="I449" s="693" t="s">
        <v>2176</v>
      </c>
      <c r="J449" s="847">
        <v>152463848</v>
      </c>
      <c r="K449" s="847">
        <v>523731822</v>
      </c>
      <c r="L449" s="841">
        <v>5040999890</v>
      </c>
      <c r="M449" s="847">
        <v>6944587158</v>
      </c>
      <c r="N449" s="839">
        <f>Indicadores[[#This Row],[Ventas]]/Indicadores[[#This Row],[Activos totales]]</f>
        <v>1.3776209699540383</v>
      </c>
      <c r="O449" s="837">
        <f>IF(Indicadores[[#This Row],[Ventas]]=0,0,Indicadores[[#This Row],[EBITDA]]/Indicadores[[#This Row],[Ventas]])</f>
        <v>7.5415832515929093E-2</v>
      </c>
      <c r="P449" s="837">
        <f>IF(Indicadores[[#This Row],[Ventas]]=0,0,Indicadores[[#This Row],[UAI]]/Indicadores[[#This Row],[Ventas]])</f>
        <v>2.1954342933743046E-2</v>
      </c>
      <c r="Q449" s="837">
        <f>IFERROR(Indicadores[[#This Row],[Ventas]]/Indicadores[[#This Row],[Activos totales]],0)</f>
        <v>1.3776209699540383</v>
      </c>
    </row>
    <row r="450" spans="1:17" hidden="1" x14ac:dyDescent="0.35">
      <c r="A450" s="13" t="str">
        <f>MID(Indicadores[[#This Row],[CIIU]],2,4)</f>
        <v>0149</v>
      </c>
      <c r="B450" s="13" t="str">
        <f>Indicadores[[#This Row],[CIIU]]&amp;Indicadores[[#This Row],[Año]]</f>
        <v>A01492017</v>
      </c>
      <c r="C450" s="14" t="s">
        <v>2108</v>
      </c>
      <c r="D450" s="14" t="s">
        <v>2109</v>
      </c>
      <c r="E450" s="848">
        <v>2017</v>
      </c>
      <c r="F450" s="849" t="s">
        <v>2178</v>
      </c>
      <c r="G450" s="693" t="s">
        <v>2179</v>
      </c>
      <c r="H450" s="848" t="s">
        <v>2180</v>
      </c>
      <c r="I450" s="693" t="s">
        <v>2179</v>
      </c>
      <c r="J450" s="847">
        <v>-1798171</v>
      </c>
      <c r="K450" s="847">
        <v>827399</v>
      </c>
      <c r="L450" s="841">
        <v>159235997</v>
      </c>
      <c r="M450" s="847">
        <v>99848210</v>
      </c>
      <c r="N450" s="839">
        <f>Indicadores[[#This Row],[Ventas]]/Indicadores[[#This Row],[Activos totales]]</f>
        <v>0.62704546635896652</v>
      </c>
      <c r="O450" s="837">
        <f>IF(Indicadores[[#This Row],[Ventas]]=0,0,Indicadores[[#This Row],[EBITDA]]/Indicadores[[#This Row],[Ventas]])</f>
        <v>8.2865681818432204E-3</v>
      </c>
      <c r="P450" s="837">
        <f>IF(Indicadores[[#This Row],[Ventas]]=0,0,Indicadores[[#This Row],[UAI]]/Indicadores[[#This Row],[Ventas]])</f>
        <v>-1.8009045930818389E-2</v>
      </c>
      <c r="Q450" s="837">
        <f>IFERROR(Indicadores[[#This Row],[Ventas]]/Indicadores[[#This Row],[Activos totales]],0)</f>
        <v>0.62704546635896652</v>
      </c>
    </row>
    <row r="451" spans="1:17" hidden="1" x14ac:dyDescent="0.35">
      <c r="A451" s="13" t="str">
        <f>MID(Indicadores[[#This Row],[CIIU]],2,4)</f>
        <v>0150</v>
      </c>
      <c r="B451" s="13" t="str">
        <f>Indicadores[[#This Row],[CIIU]]&amp;Indicadores[[#This Row],[Año]]</f>
        <v>A01502017</v>
      </c>
      <c r="C451" s="14" t="s">
        <v>2108</v>
      </c>
      <c r="D451" s="14" t="s">
        <v>2109</v>
      </c>
      <c r="E451" s="848">
        <v>2017</v>
      </c>
      <c r="F451" s="849" t="s">
        <v>2181</v>
      </c>
      <c r="G451" s="693" t="s">
        <v>2182</v>
      </c>
      <c r="H451" s="848" t="s">
        <v>2183</v>
      </c>
      <c r="I451" s="693" t="s">
        <v>2184</v>
      </c>
      <c r="J451" s="847">
        <v>20878984</v>
      </c>
      <c r="K451" s="847">
        <v>37713168</v>
      </c>
      <c r="L451" s="841">
        <v>1461185797</v>
      </c>
      <c r="M451" s="847">
        <v>183934856</v>
      </c>
      <c r="N451" s="839">
        <f>Indicadores[[#This Row],[Ventas]]/Indicadores[[#This Row],[Activos totales]]</f>
        <v>0.12588053920154549</v>
      </c>
      <c r="O451" s="837">
        <f>IF(Indicadores[[#This Row],[Ventas]]=0,0,Indicadores[[#This Row],[EBITDA]]/Indicadores[[#This Row],[Ventas]])</f>
        <v>0.20503546103300835</v>
      </c>
      <c r="P451" s="837">
        <f>IF(Indicadores[[#This Row],[Ventas]]=0,0,Indicadores[[#This Row],[UAI]]/Indicadores[[#This Row],[Ventas]])</f>
        <v>0.11351292764216479</v>
      </c>
      <c r="Q451" s="837">
        <f>IFERROR(Indicadores[[#This Row],[Ventas]]/Indicadores[[#This Row],[Activos totales]],0)</f>
        <v>0.12588053920154549</v>
      </c>
    </row>
    <row r="452" spans="1:17" hidden="1" x14ac:dyDescent="0.35">
      <c r="A452" s="13" t="str">
        <f>MID(Indicadores[[#This Row],[CIIU]],2,4)</f>
        <v>0161</v>
      </c>
      <c r="B452" s="13" t="str">
        <f>Indicadores[[#This Row],[CIIU]]&amp;Indicadores[[#This Row],[Año]]</f>
        <v>A01612017</v>
      </c>
      <c r="C452" s="14" t="s">
        <v>2108</v>
      </c>
      <c r="D452" s="14" t="s">
        <v>2109</v>
      </c>
      <c r="E452" s="848">
        <v>2017</v>
      </c>
      <c r="F452" s="849" t="s">
        <v>2185</v>
      </c>
      <c r="G452" s="693" t="s">
        <v>2186</v>
      </c>
      <c r="H452" s="848" t="s">
        <v>2187</v>
      </c>
      <c r="I452" s="693" t="s">
        <v>2188</v>
      </c>
      <c r="J452" s="847">
        <v>50666349</v>
      </c>
      <c r="K452" s="847">
        <v>72100018</v>
      </c>
      <c r="L452" s="841">
        <v>868461818</v>
      </c>
      <c r="M452" s="847">
        <v>480606927</v>
      </c>
      <c r="N452" s="839">
        <f>Indicadores[[#This Row],[Ventas]]/Indicadores[[#This Row],[Activos totales]]</f>
        <v>0.55340018068589403</v>
      </c>
      <c r="O452" s="837">
        <f>IF(Indicadores[[#This Row],[Ventas]]=0,0,Indicadores[[#This Row],[EBITDA]]/Indicadores[[#This Row],[Ventas]])</f>
        <v>0.15001868252306733</v>
      </c>
      <c r="P452" s="837">
        <f>IF(Indicadores[[#This Row],[Ventas]]=0,0,Indicadores[[#This Row],[UAI]]/Indicadores[[#This Row],[Ventas]])</f>
        <v>0.10542159539036357</v>
      </c>
      <c r="Q452" s="837">
        <f>IFERROR(Indicadores[[#This Row],[Ventas]]/Indicadores[[#This Row],[Activos totales]],0)</f>
        <v>0.55340018068589403</v>
      </c>
    </row>
    <row r="453" spans="1:17" hidden="1" x14ac:dyDescent="0.35">
      <c r="A453" s="13" t="str">
        <f>MID(Indicadores[[#This Row],[CIIU]],2,4)</f>
        <v>0162</v>
      </c>
      <c r="B453" s="13" t="str">
        <f>Indicadores[[#This Row],[CIIU]]&amp;Indicadores[[#This Row],[Año]]</f>
        <v>A01622017</v>
      </c>
      <c r="C453" s="14" t="s">
        <v>2108</v>
      </c>
      <c r="D453" s="14" t="s">
        <v>2109</v>
      </c>
      <c r="E453" s="848">
        <v>2017</v>
      </c>
      <c r="F453" s="849" t="s">
        <v>2189</v>
      </c>
      <c r="G453" s="693" t="s">
        <v>2190</v>
      </c>
      <c r="H453" s="848" t="s">
        <v>2191</v>
      </c>
      <c r="I453" s="693" t="s">
        <v>2190</v>
      </c>
      <c r="J453" s="847">
        <v>19480409</v>
      </c>
      <c r="K453" s="847">
        <v>24625080</v>
      </c>
      <c r="L453" s="841">
        <v>165109362</v>
      </c>
      <c r="M453" s="847">
        <v>122418730</v>
      </c>
      <c r="N453" s="839">
        <f>Indicadores[[#This Row],[Ventas]]/Indicadores[[#This Row],[Activos totales]]</f>
        <v>0.74144027035850335</v>
      </c>
      <c r="O453" s="837">
        <f>IF(Indicadores[[#This Row],[Ventas]]=0,0,Indicadores[[#This Row],[EBITDA]]/Indicadores[[#This Row],[Ventas]])</f>
        <v>0.20115451287560326</v>
      </c>
      <c r="P453" s="837">
        <f>IF(Indicadores[[#This Row],[Ventas]]=0,0,Indicadores[[#This Row],[UAI]]/Indicadores[[#This Row],[Ventas]])</f>
        <v>0.15912931787480561</v>
      </c>
      <c r="Q453" s="837">
        <f>IFERROR(Indicadores[[#This Row],[Ventas]]/Indicadores[[#This Row],[Activos totales]],0)</f>
        <v>0.74144027035850335</v>
      </c>
    </row>
    <row r="454" spans="1:17" hidden="1" x14ac:dyDescent="0.35">
      <c r="A454" s="13" t="str">
        <f>MID(Indicadores[[#This Row],[CIIU]],2,4)</f>
        <v>0163</v>
      </c>
      <c r="B454" s="13" t="str">
        <f>Indicadores[[#This Row],[CIIU]]&amp;Indicadores[[#This Row],[Año]]</f>
        <v>A01632017</v>
      </c>
      <c r="C454" s="14" t="s">
        <v>2108</v>
      </c>
      <c r="D454" s="14" t="s">
        <v>2109</v>
      </c>
      <c r="E454" s="848">
        <v>2017</v>
      </c>
      <c r="F454" s="849" t="s">
        <v>2192</v>
      </c>
      <c r="G454" s="693" t="s">
        <v>2193</v>
      </c>
      <c r="H454" s="848" t="s">
        <v>2194</v>
      </c>
      <c r="I454" s="693" t="s">
        <v>2195</v>
      </c>
      <c r="J454" s="847">
        <v>1454575</v>
      </c>
      <c r="K454" s="847">
        <v>-2956497</v>
      </c>
      <c r="L454" s="841">
        <v>27624553</v>
      </c>
      <c r="M454" s="847">
        <v>1163720</v>
      </c>
      <c r="N454" s="839">
        <f>Indicadores[[#This Row],[Ventas]]/Indicadores[[#This Row],[Activos totales]]</f>
        <v>4.2126292505076914E-2</v>
      </c>
      <c r="O454" s="837">
        <f>IF(Indicadores[[#This Row],[Ventas]]=0,0,Indicadores[[#This Row],[EBITDA]]/Indicadores[[#This Row],[Ventas]])</f>
        <v>-2.5405570068401335</v>
      </c>
      <c r="P454" s="837">
        <f>IF(Indicadores[[#This Row],[Ventas]]=0,0,Indicadores[[#This Row],[UAI]]/Indicadores[[#This Row],[Ventas]])</f>
        <v>1.2499355515072355</v>
      </c>
      <c r="Q454" s="837">
        <f>IFERROR(Indicadores[[#This Row],[Ventas]]/Indicadores[[#This Row],[Activos totales]],0)</f>
        <v>4.2126292505076914E-2</v>
      </c>
    </row>
    <row r="455" spans="1:17" hidden="1" x14ac:dyDescent="0.35">
      <c r="A455" s="13" t="str">
        <f>MID(Indicadores[[#This Row],[CIIU]],2,4)</f>
        <v>0164</v>
      </c>
      <c r="B455" s="13" t="str">
        <f>Indicadores[[#This Row],[CIIU]]&amp;Indicadores[[#This Row],[Año]]</f>
        <v>A01642017</v>
      </c>
      <c r="C455" s="14" t="s">
        <v>2108</v>
      </c>
      <c r="D455" s="14" t="s">
        <v>2109</v>
      </c>
      <c r="E455" s="848">
        <v>2017</v>
      </c>
      <c r="F455" s="849" t="s">
        <v>2196</v>
      </c>
      <c r="G455" s="693" t="s">
        <v>2197</v>
      </c>
      <c r="H455" s="848" t="s">
        <v>2198</v>
      </c>
      <c r="I455" s="693" t="s">
        <v>2199</v>
      </c>
      <c r="J455" s="847">
        <v>1491333</v>
      </c>
      <c r="K455" s="847">
        <v>1715399</v>
      </c>
      <c r="L455" s="841">
        <v>20605515</v>
      </c>
      <c r="M455" s="847">
        <v>19844607</v>
      </c>
      <c r="N455" s="839">
        <f>Indicadores[[#This Row],[Ventas]]/Indicadores[[#This Row],[Activos totales]]</f>
        <v>0.96307260459153776</v>
      </c>
      <c r="O455" s="837">
        <f>IF(Indicadores[[#This Row],[Ventas]]=0,0,Indicadores[[#This Row],[EBITDA]]/Indicadores[[#This Row],[Ventas]])</f>
        <v>8.6441570750179123E-2</v>
      </c>
      <c r="P455" s="837">
        <f>IF(Indicadores[[#This Row],[Ventas]]=0,0,Indicadores[[#This Row],[UAI]]/Indicadores[[#This Row],[Ventas]])</f>
        <v>7.5150543419680721E-2</v>
      </c>
      <c r="Q455" s="837">
        <f>IFERROR(Indicadores[[#This Row],[Ventas]]/Indicadores[[#This Row],[Activos totales]],0)</f>
        <v>0.96307260459153776</v>
      </c>
    </row>
    <row r="456" spans="1:17" hidden="1" x14ac:dyDescent="0.35">
      <c r="A456" s="13" t="str">
        <f>MID(Indicadores[[#This Row],[CIIU]],2,4)</f>
        <v>0210</v>
      </c>
      <c r="B456" s="13" t="str">
        <f>Indicadores[[#This Row],[CIIU]]&amp;Indicadores[[#This Row],[Año]]</f>
        <v>A02102017</v>
      </c>
      <c r="C456" s="14" t="s">
        <v>2108</v>
      </c>
      <c r="D456" s="14" t="s">
        <v>2200</v>
      </c>
      <c r="E456" s="848">
        <v>2017</v>
      </c>
      <c r="F456" s="849" t="s">
        <v>2201</v>
      </c>
      <c r="G456" s="693" t="s">
        <v>2202</v>
      </c>
      <c r="H456" s="848" t="s">
        <v>2203</v>
      </c>
      <c r="I456" s="693" t="s">
        <v>2202</v>
      </c>
      <c r="J456" s="847">
        <v>90943701</v>
      </c>
      <c r="K456" s="847">
        <v>129171037</v>
      </c>
      <c r="L456" s="841">
        <v>2145720002</v>
      </c>
      <c r="M456" s="847">
        <v>147640686</v>
      </c>
      <c r="N456" s="839">
        <f>Indicadores[[#This Row],[Ventas]]/Indicadores[[#This Row],[Activos totales]]</f>
        <v>6.8807060502948145E-2</v>
      </c>
      <c r="O456" s="837">
        <f>IF(Indicadores[[#This Row],[Ventas]]=0,0,Indicadores[[#This Row],[EBITDA]]/Indicadores[[#This Row],[Ventas]])</f>
        <v>0.87490136018468512</v>
      </c>
      <c r="P456" s="837">
        <f>IF(Indicadores[[#This Row],[Ventas]]=0,0,Indicadores[[#This Row],[UAI]]/Indicadores[[#This Row],[Ventas]])</f>
        <v>0.61597994065131889</v>
      </c>
      <c r="Q456" s="837">
        <f>IFERROR(Indicadores[[#This Row],[Ventas]]/Indicadores[[#This Row],[Activos totales]],0)</f>
        <v>6.8807060502948145E-2</v>
      </c>
    </row>
    <row r="457" spans="1:17" hidden="1" x14ac:dyDescent="0.35">
      <c r="A457" s="13" t="str">
        <f>MID(Indicadores[[#This Row],[CIIU]],2,4)</f>
        <v>0220</v>
      </c>
      <c r="B457" s="13" t="str">
        <f>Indicadores[[#This Row],[CIIU]]&amp;Indicadores[[#This Row],[Año]]</f>
        <v>A02202017</v>
      </c>
      <c r="C457" s="14" t="s">
        <v>2108</v>
      </c>
      <c r="D457" s="14" t="s">
        <v>2200</v>
      </c>
      <c r="E457" s="848">
        <v>2017</v>
      </c>
      <c r="F457" s="849" t="s">
        <v>2204</v>
      </c>
      <c r="G457" s="693" t="s">
        <v>2205</v>
      </c>
      <c r="H457" s="848" t="s">
        <v>2206</v>
      </c>
      <c r="I457" s="693" t="s">
        <v>2207</v>
      </c>
      <c r="J457" s="847">
        <v>35093607</v>
      </c>
      <c r="K457" s="847">
        <v>24589940</v>
      </c>
      <c r="L457" s="841">
        <v>328491336</v>
      </c>
      <c r="M457" s="847">
        <v>25455608</v>
      </c>
      <c r="N457" s="839">
        <f>Indicadores[[#This Row],[Ventas]]/Indicadores[[#This Row],[Activos totales]]</f>
        <v>7.7492479131930594E-2</v>
      </c>
      <c r="O457" s="837">
        <f>IF(Indicadores[[#This Row],[Ventas]]=0,0,Indicadores[[#This Row],[EBITDA]]/Indicadores[[#This Row],[Ventas]])</f>
        <v>0.96599303383364488</v>
      </c>
      <c r="P457" s="837">
        <f>IF(Indicadores[[#This Row],[Ventas]]=0,0,Indicadores[[#This Row],[UAI]]/Indicadores[[#This Row],[Ventas]])</f>
        <v>1.3786198703248416</v>
      </c>
      <c r="Q457" s="837">
        <f>IFERROR(Indicadores[[#This Row],[Ventas]]/Indicadores[[#This Row],[Activos totales]],0)</f>
        <v>7.7492479131930594E-2</v>
      </c>
    </row>
    <row r="458" spans="1:17" hidden="1" x14ac:dyDescent="0.35">
      <c r="A458" s="13" t="str">
        <f>MID(Indicadores[[#This Row],[CIIU]],2,4)</f>
        <v>0240</v>
      </c>
      <c r="B458" s="13" t="str">
        <f>Indicadores[[#This Row],[CIIU]]&amp;Indicadores[[#This Row],[Año]]</f>
        <v>A02402017</v>
      </c>
      <c r="C458" s="14" t="s">
        <v>2108</v>
      </c>
      <c r="D458" s="14" t="s">
        <v>2200</v>
      </c>
      <c r="E458" s="848">
        <v>2017</v>
      </c>
      <c r="F458" s="849" t="s">
        <v>2208</v>
      </c>
      <c r="G458" s="693" t="s">
        <v>2209</v>
      </c>
      <c r="H458" s="848" t="s">
        <v>2210</v>
      </c>
      <c r="I458" s="693" t="s">
        <v>2211</v>
      </c>
      <c r="J458" s="847">
        <v>2711111</v>
      </c>
      <c r="K458" s="847">
        <v>3098178</v>
      </c>
      <c r="L458" s="841">
        <v>19927894</v>
      </c>
      <c r="M458" s="847">
        <v>12200249</v>
      </c>
      <c r="N458" s="839">
        <f>Indicadores[[#This Row],[Ventas]]/Indicadores[[#This Row],[Activos totales]]</f>
        <v>0.6122196856326112</v>
      </c>
      <c r="O458" s="837">
        <f>IF(Indicadores[[#This Row],[Ventas]]=0,0,Indicadores[[#This Row],[EBITDA]]/Indicadores[[#This Row],[Ventas]])</f>
        <v>0.25394383344143223</v>
      </c>
      <c r="P458" s="837">
        <f>IF(Indicadores[[#This Row],[Ventas]]=0,0,Indicadores[[#This Row],[UAI]]/Indicadores[[#This Row],[Ventas]])</f>
        <v>0.2222176776883816</v>
      </c>
      <c r="Q458" s="837">
        <f>IFERROR(Indicadores[[#This Row],[Ventas]]/Indicadores[[#This Row],[Activos totales]],0)</f>
        <v>0.6122196856326112</v>
      </c>
    </row>
    <row r="459" spans="1:17" hidden="1" x14ac:dyDescent="0.35">
      <c r="A459" s="13" t="str">
        <f>MID(Indicadores[[#This Row],[CIIU]],2,4)</f>
        <v>0311</v>
      </c>
      <c r="B459" s="13" t="str">
        <f>Indicadores[[#This Row],[CIIU]]&amp;Indicadores[[#This Row],[Año]]</f>
        <v>A03112017</v>
      </c>
      <c r="C459" s="14" t="s">
        <v>2108</v>
      </c>
      <c r="D459" s="14" t="s">
        <v>2212</v>
      </c>
      <c r="E459" s="848">
        <v>2017</v>
      </c>
      <c r="F459" s="849" t="s">
        <v>2213</v>
      </c>
      <c r="G459" s="693" t="s">
        <v>2214</v>
      </c>
      <c r="H459" s="848" t="s">
        <v>2215</v>
      </c>
      <c r="I459" s="693" t="s">
        <v>2216</v>
      </c>
      <c r="J459" s="847">
        <v>-999991</v>
      </c>
      <c r="K459" s="847">
        <v>2118942</v>
      </c>
      <c r="L459" s="841">
        <v>43587609</v>
      </c>
      <c r="M459" s="847">
        <v>78397417</v>
      </c>
      <c r="N459" s="839">
        <f>Indicadores[[#This Row],[Ventas]]/Indicadores[[#This Row],[Activos totales]]</f>
        <v>1.7986170565125514</v>
      </c>
      <c r="O459" s="837">
        <f>IF(Indicadores[[#This Row],[Ventas]]=0,0,Indicadores[[#This Row],[EBITDA]]/Indicadores[[#This Row],[Ventas]])</f>
        <v>2.7028211911624588E-2</v>
      </c>
      <c r="P459" s="837">
        <f>IF(Indicadores[[#This Row],[Ventas]]=0,0,Indicadores[[#This Row],[UAI]]/Indicadores[[#This Row],[Ventas]])</f>
        <v>-1.2755407490019728E-2</v>
      </c>
      <c r="Q459" s="837">
        <f>IFERROR(Indicadores[[#This Row],[Ventas]]/Indicadores[[#This Row],[Activos totales]],0)</f>
        <v>1.7986170565125514</v>
      </c>
    </row>
    <row r="460" spans="1:17" hidden="1" x14ac:dyDescent="0.35">
      <c r="A460" s="13" t="str">
        <f>MID(Indicadores[[#This Row],[CIIU]],2,4)</f>
        <v>0312</v>
      </c>
      <c r="B460" s="13" t="str">
        <f>Indicadores[[#This Row],[CIIU]]&amp;Indicadores[[#This Row],[Año]]</f>
        <v>A03122017</v>
      </c>
      <c r="C460" s="14" t="s">
        <v>2108</v>
      </c>
      <c r="D460" s="14" t="s">
        <v>2212</v>
      </c>
      <c r="E460" s="848">
        <v>2017</v>
      </c>
      <c r="F460" s="849" t="s">
        <v>2217</v>
      </c>
      <c r="G460" s="693" t="s">
        <v>2218</v>
      </c>
      <c r="H460" s="848" t="s">
        <v>2219</v>
      </c>
      <c r="I460" s="693" t="s">
        <v>2220</v>
      </c>
      <c r="J460" s="847">
        <v>2659807</v>
      </c>
      <c r="K460" s="847">
        <v>5205287</v>
      </c>
      <c r="L460" s="841">
        <v>39988440</v>
      </c>
      <c r="M460" s="847">
        <v>54227208</v>
      </c>
      <c r="N460" s="839">
        <f>Indicadores[[#This Row],[Ventas]]/Indicadores[[#This Row],[Activos totales]]</f>
        <v>1.3560721048382982</v>
      </c>
      <c r="O460" s="837">
        <f>IF(Indicadores[[#This Row],[Ventas]]=0,0,Indicadores[[#This Row],[EBITDA]]/Indicadores[[#This Row],[Ventas]])</f>
        <v>9.5990319103281138E-2</v>
      </c>
      <c r="P460" s="837">
        <f>IF(Indicadores[[#This Row],[Ventas]]=0,0,Indicadores[[#This Row],[UAI]]/Indicadores[[#This Row],[Ventas]])</f>
        <v>4.9049307498921946E-2</v>
      </c>
      <c r="Q460" s="837">
        <f>IFERROR(Indicadores[[#This Row],[Ventas]]/Indicadores[[#This Row],[Activos totales]],0)</f>
        <v>1.3560721048382982</v>
      </c>
    </row>
    <row r="461" spans="1:17" hidden="1" x14ac:dyDescent="0.35">
      <c r="A461" s="13" t="str">
        <f>MID(Indicadores[[#This Row],[CIIU]],2,4)</f>
        <v>0321</v>
      </c>
      <c r="B461" s="13" t="str">
        <f>Indicadores[[#This Row],[CIIU]]&amp;Indicadores[[#This Row],[Año]]</f>
        <v>A03212017</v>
      </c>
      <c r="C461" s="14" t="s">
        <v>2108</v>
      </c>
      <c r="D461" s="14" t="s">
        <v>2212</v>
      </c>
      <c r="E461" s="848">
        <v>2017</v>
      </c>
      <c r="F461" s="849" t="s">
        <v>2221</v>
      </c>
      <c r="G461" s="838" t="s">
        <v>2222</v>
      </c>
      <c r="H461" s="848" t="s">
        <v>2223</v>
      </c>
      <c r="I461" s="693" t="s">
        <v>2224</v>
      </c>
      <c r="J461" s="847">
        <v>12356114</v>
      </c>
      <c r="K461" s="847">
        <v>18886486</v>
      </c>
      <c r="L461" s="841">
        <v>149191718</v>
      </c>
      <c r="M461" s="847">
        <v>75796165</v>
      </c>
      <c r="N461" s="839">
        <f>Indicadores[[#This Row],[Ventas]]/Indicadores[[#This Row],[Activos totales]]</f>
        <v>0.50804539297550011</v>
      </c>
      <c r="O461" s="837">
        <f>IF(Indicadores[[#This Row],[Ventas]]=0,0,Indicadores[[#This Row],[EBITDA]]/Indicadores[[#This Row],[Ventas]])</f>
        <v>0.24917469109419982</v>
      </c>
      <c r="P461" s="837">
        <f>IF(Indicadores[[#This Row],[Ventas]]=0,0,Indicadores[[#This Row],[UAI]]/Indicadores[[#This Row],[Ventas]])</f>
        <v>0.16301766718672375</v>
      </c>
      <c r="Q461" s="837">
        <f>IFERROR(Indicadores[[#This Row],[Ventas]]/Indicadores[[#This Row],[Activos totales]],0)</f>
        <v>0.50804539297550011</v>
      </c>
    </row>
    <row r="462" spans="1:17" hidden="1" x14ac:dyDescent="0.35">
      <c r="A462" s="13" t="str">
        <f>MID(Indicadores[[#This Row],[CIIU]],2,4)</f>
        <v>0322</v>
      </c>
      <c r="B462" s="13" t="str">
        <f>Indicadores[[#This Row],[CIIU]]&amp;Indicadores[[#This Row],[Año]]</f>
        <v>A03222017</v>
      </c>
      <c r="C462" s="14" t="s">
        <v>2108</v>
      </c>
      <c r="D462" s="14" t="s">
        <v>2212</v>
      </c>
      <c r="E462" s="848">
        <v>2017</v>
      </c>
      <c r="F462" s="849" t="s">
        <v>2225</v>
      </c>
      <c r="G462" s="693" t="s">
        <v>2226</v>
      </c>
      <c r="H462" s="848" t="s">
        <v>2227</v>
      </c>
      <c r="I462" s="693" t="s">
        <v>2226</v>
      </c>
      <c r="J462" s="847">
        <v>6166287</v>
      </c>
      <c r="K462" s="847">
        <v>13557602</v>
      </c>
      <c r="L462" s="841">
        <v>184443663</v>
      </c>
      <c r="M462" s="847">
        <v>206971617</v>
      </c>
      <c r="N462" s="839">
        <f>Indicadores[[#This Row],[Ventas]]/Indicadores[[#This Row],[Activos totales]]</f>
        <v>1.1221400271149462</v>
      </c>
      <c r="O462" s="837">
        <f>IF(Indicadores[[#This Row],[Ventas]]=0,0,Indicadores[[#This Row],[EBITDA]]/Indicadores[[#This Row],[Ventas]])</f>
        <v>6.5504643566658707E-2</v>
      </c>
      <c r="P462" s="837">
        <f>IF(Indicadores[[#This Row],[Ventas]]=0,0,Indicadores[[#This Row],[UAI]]/Indicadores[[#This Row],[Ventas]])</f>
        <v>2.9792911170037389E-2</v>
      </c>
      <c r="Q462" s="837">
        <f>IFERROR(Indicadores[[#This Row],[Ventas]]/Indicadores[[#This Row],[Activos totales]],0)</f>
        <v>1.1221400271149462</v>
      </c>
    </row>
    <row r="463" spans="1:17" hidden="1" x14ac:dyDescent="0.35">
      <c r="A463" s="13" t="str">
        <f>MID(Indicadores[[#This Row],[CIIU]],2,4)</f>
        <v>0510</v>
      </c>
      <c r="B463" s="13" t="str">
        <f>Indicadores[[#This Row],[CIIU]]&amp;Indicadores[[#This Row],[Año]]</f>
        <v>B05102017</v>
      </c>
      <c r="C463" s="14" t="s">
        <v>2228</v>
      </c>
      <c r="D463" s="14" t="s">
        <v>2229</v>
      </c>
      <c r="E463" s="848">
        <v>2017</v>
      </c>
      <c r="F463" s="849" t="s">
        <v>2230</v>
      </c>
      <c r="G463" s="693" t="s">
        <v>2231</v>
      </c>
      <c r="H463" s="848" t="s">
        <v>2232</v>
      </c>
      <c r="I463" s="693" t="s">
        <v>2231</v>
      </c>
      <c r="J463" s="847">
        <v>3035239186</v>
      </c>
      <c r="K463" s="847">
        <v>4419437787</v>
      </c>
      <c r="L463" s="841">
        <v>26828317927</v>
      </c>
      <c r="M463" s="847">
        <v>16468149660</v>
      </c>
      <c r="N463" s="839">
        <f>Indicadores[[#This Row],[Ventas]]/Indicadores[[#This Row],[Activos totales]]</f>
        <v>0.61383459465516721</v>
      </c>
      <c r="O463" s="837">
        <f>IF(Indicadores[[#This Row],[Ventas]]=0,0,Indicadores[[#This Row],[EBITDA]]/Indicadores[[#This Row],[Ventas]])</f>
        <v>0.26836274130629928</v>
      </c>
      <c r="P463" s="837">
        <f>IF(Indicadores[[#This Row],[Ventas]]=0,0,Indicadores[[#This Row],[UAI]]/Indicadores[[#This Row],[Ventas]])</f>
        <v>0.18430966736793672</v>
      </c>
      <c r="Q463" s="837">
        <f>IFERROR(Indicadores[[#This Row],[Ventas]]/Indicadores[[#This Row],[Activos totales]],0)</f>
        <v>0.61383459465516721</v>
      </c>
    </row>
    <row r="464" spans="1:17" hidden="1" x14ac:dyDescent="0.35">
      <c r="A464" s="13" t="str">
        <f>MID(Indicadores[[#This Row],[CIIU]],2,4)</f>
        <v>0610</v>
      </c>
      <c r="B464" s="13" t="str">
        <f>Indicadores[[#This Row],[CIIU]]&amp;Indicadores[[#This Row],[Año]]</f>
        <v>B06102017</v>
      </c>
      <c r="C464" s="14" t="s">
        <v>2228</v>
      </c>
      <c r="D464" s="14" t="s">
        <v>2236</v>
      </c>
      <c r="E464" s="848">
        <v>2017</v>
      </c>
      <c r="F464" s="849" t="s">
        <v>2237</v>
      </c>
      <c r="G464" s="693" t="s">
        <v>2238</v>
      </c>
      <c r="H464" s="848" t="s">
        <v>2239</v>
      </c>
      <c r="I464" s="693" t="s">
        <v>2238</v>
      </c>
      <c r="J464" s="847">
        <v>775875949</v>
      </c>
      <c r="K464" s="847">
        <v>4886427808</v>
      </c>
      <c r="L464" s="841">
        <v>29296274060</v>
      </c>
      <c r="M464" s="847">
        <v>14321339369</v>
      </c>
      <c r="N464" s="839">
        <f>Indicadores[[#This Row],[Ventas]]/Indicadores[[#This Row],[Activos totales]]</f>
        <v>0.48884507769381508</v>
      </c>
      <c r="O464" s="837">
        <f>IF(Indicadores[[#This Row],[Ventas]]=0,0,Indicadores[[#This Row],[EBITDA]]/Indicadores[[#This Row],[Ventas]])</f>
        <v>0.34119907936663879</v>
      </c>
      <c r="P464" s="837">
        <f>IF(Indicadores[[#This Row],[Ventas]]=0,0,Indicadores[[#This Row],[UAI]]/Indicadores[[#This Row],[Ventas]])</f>
        <v>5.4176214180041191E-2</v>
      </c>
      <c r="Q464" s="837">
        <f>IFERROR(Indicadores[[#This Row],[Ventas]]/Indicadores[[#This Row],[Activos totales]],0)</f>
        <v>0.48884507769381508</v>
      </c>
    </row>
    <row r="465" spans="1:17" hidden="1" x14ac:dyDescent="0.35">
      <c r="A465" s="13" t="str">
        <f>MID(Indicadores[[#This Row],[CIIU]],2,4)</f>
        <v>0620</v>
      </c>
      <c r="B465" s="13" t="str">
        <f>Indicadores[[#This Row],[CIIU]]&amp;Indicadores[[#This Row],[Año]]</f>
        <v>B06202017</v>
      </c>
      <c r="C465" s="14" t="s">
        <v>2228</v>
      </c>
      <c r="D465" s="14" t="s">
        <v>2236</v>
      </c>
      <c r="E465" s="848">
        <v>2017</v>
      </c>
      <c r="F465" s="849" t="s">
        <v>2240</v>
      </c>
      <c r="G465" s="838" t="s">
        <v>2241</v>
      </c>
      <c r="H465" s="848" t="s">
        <v>2242</v>
      </c>
      <c r="I465" s="693" t="s">
        <v>2241</v>
      </c>
      <c r="J465" s="847">
        <v>10024626</v>
      </c>
      <c r="K465" s="847">
        <v>120340063</v>
      </c>
      <c r="L465" s="841">
        <v>2016312230</v>
      </c>
      <c r="M465" s="847">
        <v>396131935</v>
      </c>
      <c r="N465" s="839">
        <f>Indicadores[[#This Row],[Ventas]]/Indicadores[[#This Row],[Activos totales]]</f>
        <v>0.19646358788390625</v>
      </c>
      <c r="O465" s="837">
        <f>IF(Indicadores[[#This Row],[Ventas]]=0,0,Indicadores[[#This Row],[EBITDA]]/Indicadores[[#This Row],[Ventas]])</f>
        <v>0.30378783523221881</v>
      </c>
      <c r="P465" s="837">
        <f>IF(Indicadores[[#This Row],[Ventas]]=0,0,Indicadores[[#This Row],[UAI]]/Indicadores[[#This Row],[Ventas]])</f>
        <v>2.5306280848071488E-2</v>
      </c>
      <c r="Q465" s="837">
        <f>IFERROR(Indicadores[[#This Row],[Ventas]]/Indicadores[[#This Row],[Activos totales]],0)</f>
        <v>0.19646358788390625</v>
      </c>
    </row>
    <row r="466" spans="1:17" hidden="1" x14ac:dyDescent="0.35">
      <c r="A466" s="13" t="str">
        <f>MID(Indicadores[[#This Row],[CIIU]],2,4)</f>
        <v>0722</v>
      </c>
      <c r="B466" s="13" t="str">
        <f>Indicadores[[#This Row],[CIIU]]&amp;Indicadores[[#This Row],[Año]]</f>
        <v>B07222017</v>
      </c>
      <c r="C466" s="14" t="s">
        <v>2228</v>
      </c>
      <c r="D466" s="14" t="s">
        <v>2243</v>
      </c>
      <c r="E466" s="848">
        <v>2017</v>
      </c>
      <c r="F466" s="849" t="s">
        <v>2247</v>
      </c>
      <c r="G466" s="693" t="s">
        <v>2248</v>
      </c>
      <c r="H466" s="848" t="s">
        <v>2249</v>
      </c>
      <c r="I466" s="693" t="s">
        <v>2248</v>
      </c>
      <c r="J466" s="847">
        <v>-45471228</v>
      </c>
      <c r="K466" s="847">
        <v>83975269</v>
      </c>
      <c r="L466" s="841">
        <v>3979120686</v>
      </c>
      <c r="M466" s="847">
        <v>662895271</v>
      </c>
      <c r="N466" s="839">
        <f>Indicadores[[#This Row],[Ventas]]/Indicadores[[#This Row],[Activos totales]]</f>
        <v>0.16659340676253115</v>
      </c>
      <c r="O466" s="837">
        <f>IF(Indicadores[[#This Row],[Ventas]]=0,0,Indicadores[[#This Row],[EBITDA]]/Indicadores[[#This Row],[Ventas]])</f>
        <v>0.12667954151086408</v>
      </c>
      <c r="P466" s="837">
        <f>IF(Indicadores[[#This Row],[Ventas]]=0,0,Indicadores[[#This Row],[UAI]]/Indicadores[[#This Row],[Ventas]])</f>
        <v>-6.8594889704681569E-2</v>
      </c>
      <c r="Q466" s="837">
        <f>IFERROR(Indicadores[[#This Row],[Ventas]]/Indicadores[[#This Row],[Activos totales]],0)</f>
        <v>0.16659340676253115</v>
      </c>
    </row>
    <row r="467" spans="1:17" hidden="1" x14ac:dyDescent="0.35">
      <c r="A467" s="13" t="str">
        <f>MID(Indicadores[[#This Row],[CIIU]],2,4)</f>
        <v>0729</v>
      </c>
      <c r="B467" s="13" t="str">
        <f>Indicadores[[#This Row],[CIIU]]&amp;Indicadores[[#This Row],[Año]]</f>
        <v>B07292017</v>
      </c>
      <c r="C467" s="14" t="s">
        <v>2228</v>
      </c>
      <c r="D467" s="14" t="s">
        <v>2243</v>
      </c>
      <c r="E467" s="848">
        <v>2017</v>
      </c>
      <c r="F467" s="849" t="s">
        <v>2250</v>
      </c>
      <c r="G467" s="693" t="s">
        <v>2251</v>
      </c>
      <c r="H467" s="848" t="s">
        <v>2252</v>
      </c>
      <c r="I467" s="693" t="s">
        <v>2251</v>
      </c>
      <c r="J467" s="847">
        <v>54740321</v>
      </c>
      <c r="K467" s="847">
        <v>79393800</v>
      </c>
      <c r="L467" s="841">
        <v>539298994</v>
      </c>
      <c r="M467" s="847">
        <v>455086896</v>
      </c>
      <c r="N467" s="839">
        <f>Indicadores[[#This Row],[Ventas]]/Indicadores[[#This Row],[Activos totales]]</f>
        <v>0.8438489614538387</v>
      </c>
      <c r="O467" s="837">
        <f>IF(Indicadores[[#This Row],[Ventas]]=0,0,Indicadores[[#This Row],[EBITDA]]/Indicadores[[#This Row],[Ventas]])</f>
        <v>0.17445854999964666</v>
      </c>
      <c r="P467" s="837">
        <f>IF(Indicadores[[#This Row],[Ventas]]=0,0,Indicadores[[#This Row],[UAI]]/Indicadores[[#This Row],[Ventas]])</f>
        <v>0.12028542566516791</v>
      </c>
      <c r="Q467" s="837">
        <f>IFERROR(Indicadores[[#This Row],[Ventas]]/Indicadores[[#This Row],[Activos totales]],0)</f>
        <v>0.8438489614538387</v>
      </c>
    </row>
    <row r="468" spans="1:17" hidden="1" x14ac:dyDescent="0.35">
      <c r="A468" s="13" t="str">
        <f>MID(Indicadores[[#This Row],[CIIU]],2,4)</f>
        <v>0811</v>
      </c>
      <c r="B468" s="13" t="str">
        <f>Indicadores[[#This Row],[CIIU]]&amp;Indicadores[[#This Row],[Año]]</f>
        <v>B08112017</v>
      </c>
      <c r="C468" s="14" t="s">
        <v>2228</v>
      </c>
      <c r="D468" s="14" t="s">
        <v>2253</v>
      </c>
      <c r="E468" s="848">
        <v>2017</v>
      </c>
      <c r="F468" s="849" t="s">
        <v>2254</v>
      </c>
      <c r="G468" s="693" t="s">
        <v>2255</v>
      </c>
      <c r="H468" s="848" t="s">
        <v>2256</v>
      </c>
      <c r="I468" s="693" t="s">
        <v>2255</v>
      </c>
      <c r="J468" s="847">
        <v>45551754</v>
      </c>
      <c r="K468" s="847">
        <v>76080977</v>
      </c>
      <c r="L468" s="841">
        <v>859174950</v>
      </c>
      <c r="M468" s="847">
        <v>312535024</v>
      </c>
      <c r="N468" s="839">
        <f>Indicadores[[#This Row],[Ventas]]/Indicadores[[#This Row],[Activos totales]]</f>
        <v>0.36376179729169245</v>
      </c>
      <c r="O468" s="837">
        <f>IF(Indicadores[[#This Row],[Ventas]]=0,0,Indicadores[[#This Row],[EBITDA]]/Indicadores[[#This Row],[Ventas]])</f>
        <v>0.24343184333798057</v>
      </c>
      <c r="P468" s="837">
        <f>IF(Indicadores[[#This Row],[Ventas]]=0,0,Indicadores[[#This Row],[UAI]]/Indicadores[[#This Row],[Ventas]])</f>
        <v>0.14574927768735449</v>
      </c>
      <c r="Q468" s="837">
        <f>IFERROR(Indicadores[[#This Row],[Ventas]]/Indicadores[[#This Row],[Activos totales]],0)</f>
        <v>0.36376179729169245</v>
      </c>
    </row>
    <row r="469" spans="1:17" hidden="1" x14ac:dyDescent="0.35">
      <c r="A469" s="13" t="str">
        <f>MID(Indicadores[[#This Row],[CIIU]],2,4)</f>
        <v>0812</v>
      </c>
      <c r="B469" s="13" t="str">
        <f>Indicadores[[#This Row],[CIIU]]&amp;Indicadores[[#This Row],[Año]]</f>
        <v>B08122017</v>
      </c>
      <c r="C469" s="14" t="s">
        <v>2228</v>
      </c>
      <c r="D469" s="14" t="s">
        <v>2253</v>
      </c>
      <c r="E469" s="848">
        <v>2017</v>
      </c>
      <c r="F469" s="849" t="s">
        <v>2257</v>
      </c>
      <c r="G469" s="693" t="s">
        <v>2258</v>
      </c>
      <c r="H469" s="848" t="s">
        <v>2259</v>
      </c>
      <c r="I469" s="693" t="s">
        <v>2258</v>
      </c>
      <c r="J469" s="847">
        <v>940953</v>
      </c>
      <c r="K469" s="847">
        <v>4353507</v>
      </c>
      <c r="L469" s="841">
        <v>190193040</v>
      </c>
      <c r="M469" s="847">
        <v>34644843</v>
      </c>
      <c r="N469" s="839">
        <f>Indicadores[[#This Row],[Ventas]]/Indicadores[[#This Row],[Activos totales]]</f>
        <v>0.18215620823979678</v>
      </c>
      <c r="O469" s="837">
        <f>IF(Indicadores[[#This Row],[Ventas]]=0,0,Indicadores[[#This Row],[EBITDA]]/Indicadores[[#This Row],[Ventas]])</f>
        <v>0.12566103994178873</v>
      </c>
      <c r="P469" s="837">
        <f>IF(Indicadores[[#This Row],[Ventas]]=0,0,Indicadores[[#This Row],[UAI]]/Indicadores[[#This Row],[Ventas]])</f>
        <v>2.7159972986455734E-2</v>
      </c>
      <c r="Q469" s="837">
        <f>IFERROR(Indicadores[[#This Row],[Ventas]]/Indicadores[[#This Row],[Activos totales]],0)</f>
        <v>0.18215620823979678</v>
      </c>
    </row>
    <row r="470" spans="1:17" hidden="1" x14ac:dyDescent="0.35">
      <c r="A470" s="13" t="str">
        <f>MID(Indicadores[[#This Row],[CIIU]],2,4)</f>
        <v>0820</v>
      </c>
      <c r="B470" s="13" t="str">
        <f>Indicadores[[#This Row],[CIIU]]&amp;Indicadores[[#This Row],[Año]]</f>
        <v>B08202017</v>
      </c>
      <c r="C470" s="14" t="s">
        <v>2228</v>
      </c>
      <c r="D470" s="14" t="s">
        <v>2253</v>
      </c>
      <c r="E470" s="848">
        <v>2017</v>
      </c>
      <c r="F470" s="849" t="s">
        <v>2260</v>
      </c>
      <c r="G470" s="693" t="s">
        <v>2261</v>
      </c>
      <c r="H470" s="848" t="s">
        <v>2262</v>
      </c>
      <c r="I470" s="693" t="s">
        <v>2261</v>
      </c>
      <c r="J470" s="847">
        <v>-44271847</v>
      </c>
      <c r="K470" s="847">
        <v>-43462831</v>
      </c>
      <c r="L470" s="841">
        <v>218408883</v>
      </c>
      <c r="M470" s="847">
        <v>188003512</v>
      </c>
      <c r="N470" s="839">
        <f>Indicadores[[#This Row],[Ventas]]/Indicadores[[#This Row],[Activos totales]]</f>
        <v>0.86078693053890121</v>
      </c>
      <c r="O470" s="837">
        <f>IF(Indicadores[[#This Row],[Ventas]]=0,0,Indicadores[[#This Row],[EBITDA]]/Indicadores[[#This Row],[Ventas]])</f>
        <v>-0.23118095261965108</v>
      </c>
      <c r="P470" s="837">
        <f>IF(Indicadores[[#This Row],[Ventas]]=0,0,Indicadores[[#This Row],[UAI]]/Indicadores[[#This Row],[Ventas]])</f>
        <v>-0.23548414882802829</v>
      </c>
      <c r="Q470" s="837">
        <f>IFERROR(Indicadores[[#This Row],[Ventas]]/Indicadores[[#This Row],[Activos totales]],0)</f>
        <v>0.86078693053890121</v>
      </c>
    </row>
    <row r="471" spans="1:17" hidden="1" x14ac:dyDescent="0.35">
      <c r="A471" s="13" t="str">
        <f>MID(Indicadores[[#This Row],[CIIU]],2,4)</f>
        <v>0891</v>
      </c>
      <c r="B471" s="13" t="str">
        <f>Indicadores[[#This Row],[CIIU]]&amp;Indicadores[[#This Row],[Año]]</f>
        <v>B08912017</v>
      </c>
      <c r="C471" s="14" t="s">
        <v>2228</v>
      </c>
      <c r="D471" s="14" t="s">
        <v>2253</v>
      </c>
      <c r="E471" s="848">
        <v>2017</v>
      </c>
      <c r="F471" s="849" t="s">
        <v>2263</v>
      </c>
      <c r="G471" s="693" t="s">
        <v>2264</v>
      </c>
      <c r="H471" s="848" t="s">
        <v>2265</v>
      </c>
      <c r="I471" s="693" t="s">
        <v>2264</v>
      </c>
      <c r="J471" s="847">
        <v>-97319</v>
      </c>
      <c r="K471" s="847">
        <v>410213</v>
      </c>
      <c r="L471" s="841">
        <v>13933906</v>
      </c>
      <c r="M471" s="847">
        <v>6828300</v>
      </c>
      <c r="N471" s="839">
        <f>Indicadores[[#This Row],[Ventas]]/Indicadores[[#This Row],[Activos totales]]</f>
        <v>0.49004923673232759</v>
      </c>
      <c r="O471" s="837">
        <f>IF(Indicadores[[#This Row],[Ventas]]=0,0,Indicadores[[#This Row],[EBITDA]]/Indicadores[[#This Row],[Ventas]])</f>
        <v>6.0075421407963916E-2</v>
      </c>
      <c r="P471" s="837">
        <f>IF(Indicadores[[#This Row],[Ventas]]=0,0,Indicadores[[#This Row],[UAI]]/Indicadores[[#This Row],[Ventas]])</f>
        <v>-1.4252302915806276E-2</v>
      </c>
      <c r="Q471" s="837">
        <f>IFERROR(Indicadores[[#This Row],[Ventas]]/Indicadores[[#This Row],[Activos totales]],0)</f>
        <v>0.49004923673232759</v>
      </c>
    </row>
    <row r="472" spans="1:17" hidden="1" x14ac:dyDescent="0.35">
      <c r="A472" s="13" t="str">
        <f>MID(Indicadores[[#This Row],[CIIU]],2,4)</f>
        <v>0892</v>
      </c>
      <c r="B472" s="13" t="str">
        <f>Indicadores[[#This Row],[CIIU]]&amp;Indicadores[[#This Row],[Año]]</f>
        <v>B08922017</v>
      </c>
      <c r="C472" s="14" t="s">
        <v>2228</v>
      </c>
      <c r="D472" s="14" t="s">
        <v>2253</v>
      </c>
      <c r="E472" s="848">
        <v>2017</v>
      </c>
      <c r="F472" s="849" t="s">
        <v>2266</v>
      </c>
      <c r="G472" s="693" t="s">
        <v>2267</v>
      </c>
      <c r="H472" s="848" t="s">
        <v>2268</v>
      </c>
      <c r="I472" s="693" t="s">
        <v>2267</v>
      </c>
      <c r="J472" s="847">
        <v>-3733083</v>
      </c>
      <c r="K472" s="847">
        <v>2123458</v>
      </c>
      <c r="L472" s="841">
        <v>66925623</v>
      </c>
      <c r="M472" s="847">
        <v>4375044</v>
      </c>
      <c r="N472" s="839">
        <f>Indicadores[[#This Row],[Ventas]]/Indicadores[[#This Row],[Activos totales]]</f>
        <v>6.5371733633320078E-2</v>
      </c>
      <c r="O472" s="837">
        <f>IF(Indicadores[[#This Row],[Ventas]]=0,0,Indicadores[[#This Row],[EBITDA]]/Indicadores[[#This Row],[Ventas]])</f>
        <v>0.48535694726727319</v>
      </c>
      <c r="P472" s="837">
        <f>IF(Indicadores[[#This Row],[Ventas]]=0,0,Indicadores[[#This Row],[UAI]]/Indicadores[[#This Row],[Ventas]])</f>
        <v>-0.853267532852241</v>
      </c>
      <c r="Q472" s="837">
        <f>IFERROR(Indicadores[[#This Row],[Ventas]]/Indicadores[[#This Row],[Activos totales]],0)</f>
        <v>6.5371733633320078E-2</v>
      </c>
    </row>
    <row r="473" spans="1:17" hidden="1" x14ac:dyDescent="0.35">
      <c r="A473" s="13" t="str">
        <f>MID(Indicadores[[#This Row],[CIIU]],2,4)</f>
        <v>0899</v>
      </c>
      <c r="B473" s="13" t="str">
        <f>Indicadores[[#This Row],[CIIU]]&amp;Indicadores[[#This Row],[Año]]</f>
        <v>B08992017</v>
      </c>
      <c r="C473" s="14" t="s">
        <v>2228</v>
      </c>
      <c r="D473" s="14" t="s">
        <v>2253</v>
      </c>
      <c r="E473" s="848">
        <v>2017</v>
      </c>
      <c r="F473" s="849" t="s">
        <v>2269</v>
      </c>
      <c r="G473" s="693" t="s">
        <v>2270</v>
      </c>
      <c r="H473" s="848" t="s">
        <v>2271</v>
      </c>
      <c r="I473" s="693" t="s">
        <v>2270</v>
      </c>
      <c r="J473" s="847">
        <v>-7373084</v>
      </c>
      <c r="K473" s="847">
        <v>5653448</v>
      </c>
      <c r="L473" s="841">
        <v>83553065</v>
      </c>
      <c r="M473" s="847">
        <v>46953402</v>
      </c>
      <c r="N473" s="839">
        <f>Indicadores[[#This Row],[Ventas]]/Indicadores[[#This Row],[Activos totales]]</f>
        <v>0.56195906158559239</v>
      </c>
      <c r="O473" s="837">
        <f>IF(Indicadores[[#This Row],[Ventas]]=0,0,Indicadores[[#This Row],[EBITDA]]/Indicadores[[#This Row],[Ventas]])</f>
        <v>0.12040550331155983</v>
      </c>
      <c r="P473" s="837">
        <f>IF(Indicadores[[#This Row],[Ventas]]=0,0,Indicadores[[#This Row],[UAI]]/Indicadores[[#This Row],[Ventas]])</f>
        <v>-0.1570298143678705</v>
      </c>
      <c r="Q473" s="837">
        <f>IFERROR(Indicadores[[#This Row],[Ventas]]/Indicadores[[#This Row],[Activos totales]],0)</f>
        <v>0.56195906158559239</v>
      </c>
    </row>
    <row r="474" spans="1:17" hidden="1" x14ac:dyDescent="0.35">
      <c r="A474" s="13" t="str">
        <f>MID(Indicadores[[#This Row],[CIIU]],2,4)</f>
        <v>0910</v>
      </c>
      <c r="B474" s="13" t="str">
        <f>Indicadores[[#This Row],[CIIU]]&amp;Indicadores[[#This Row],[Año]]</f>
        <v>B09102017</v>
      </c>
      <c r="C474" s="14" t="s">
        <v>2228</v>
      </c>
      <c r="D474" s="14" t="s">
        <v>2272</v>
      </c>
      <c r="E474" s="848">
        <v>2017</v>
      </c>
      <c r="F474" s="849" t="s">
        <v>2273</v>
      </c>
      <c r="G474" s="693" t="s">
        <v>2274</v>
      </c>
      <c r="H474" s="848" t="s">
        <v>2275</v>
      </c>
      <c r="I474" s="693" t="s">
        <v>2274</v>
      </c>
      <c r="J474" s="847">
        <v>89266771</v>
      </c>
      <c r="K474" s="847">
        <v>731166097</v>
      </c>
      <c r="L474" s="841">
        <v>9234567582</v>
      </c>
      <c r="M474" s="847">
        <v>6001473712</v>
      </c>
      <c r="N474" s="839">
        <f>Indicadores[[#This Row],[Ventas]]/Indicadores[[#This Row],[Activos totales]]</f>
        <v>0.64989222924721024</v>
      </c>
      <c r="O474" s="837">
        <f>IF(Indicadores[[#This Row],[Ventas]]=0,0,Indicadores[[#This Row],[EBITDA]]/Indicadores[[#This Row],[Ventas]])</f>
        <v>0.1218310921762478</v>
      </c>
      <c r="P474" s="837">
        <f>IF(Indicadores[[#This Row],[Ventas]]=0,0,Indicadores[[#This Row],[UAI]]/Indicadores[[#This Row],[Ventas]])</f>
        <v>1.4874141799789992E-2</v>
      </c>
      <c r="Q474" s="837">
        <f>IFERROR(Indicadores[[#This Row],[Ventas]]/Indicadores[[#This Row],[Activos totales]],0)</f>
        <v>0.64989222924721024</v>
      </c>
    </row>
    <row r="475" spans="1:17" hidden="1" x14ac:dyDescent="0.35">
      <c r="A475" s="13" t="str">
        <f>MID(Indicadores[[#This Row],[CIIU]],2,4)</f>
        <v>0990</v>
      </c>
      <c r="B475" s="13" t="str">
        <f>Indicadores[[#This Row],[CIIU]]&amp;Indicadores[[#This Row],[Año]]</f>
        <v>B09902017</v>
      </c>
      <c r="C475" s="14" t="s">
        <v>2228</v>
      </c>
      <c r="D475" s="14" t="s">
        <v>2272</v>
      </c>
      <c r="E475" s="848">
        <v>2017</v>
      </c>
      <c r="F475" s="849" t="s">
        <v>2276</v>
      </c>
      <c r="G475" s="693" t="s">
        <v>2277</v>
      </c>
      <c r="H475" s="848" t="s">
        <v>2278</v>
      </c>
      <c r="I475" s="693" t="s">
        <v>2277</v>
      </c>
      <c r="J475" s="847">
        <v>46895667</v>
      </c>
      <c r="K475" s="847">
        <v>51962120</v>
      </c>
      <c r="L475" s="841">
        <v>705311714</v>
      </c>
      <c r="M475" s="847">
        <v>543737263</v>
      </c>
      <c r="N475" s="839">
        <f>Indicadores[[#This Row],[Ventas]]/Indicadores[[#This Row],[Activos totales]]</f>
        <v>0.77091766974396236</v>
      </c>
      <c r="O475" s="837">
        <f>IF(Indicadores[[#This Row],[Ventas]]=0,0,Indicadores[[#This Row],[EBITDA]]/Indicadores[[#This Row],[Ventas]])</f>
        <v>9.5564758084273504E-2</v>
      </c>
      <c r="P475" s="837">
        <f>IF(Indicadores[[#This Row],[Ventas]]=0,0,Indicadores[[#This Row],[UAI]]/Indicadores[[#This Row],[Ventas]])</f>
        <v>8.6246925107282921E-2</v>
      </c>
      <c r="Q475" s="837">
        <f>IFERROR(Indicadores[[#This Row],[Ventas]]/Indicadores[[#This Row],[Activos totales]],0)</f>
        <v>0.77091766974396236</v>
      </c>
    </row>
    <row r="476" spans="1:17" x14ac:dyDescent="0.35">
      <c r="A476" s="13" t="str">
        <f>MID(Indicadores[[#This Row],[CIIU]],2,4)</f>
        <v>1011</v>
      </c>
      <c r="B476" s="13" t="str">
        <f>Indicadores[[#This Row],[CIIU]]&amp;Indicadores[[#This Row],[Año]]</f>
        <v>C10112017</v>
      </c>
      <c r="C476" s="14" t="s">
        <v>2279</v>
      </c>
      <c r="D476" s="14" t="s">
        <v>2280</v>
      </c>
      <c r="E476" s="848">
        <v>2017</v>
      </c>
      <c r="F476" s="849" t="s">
        <v>2281</v>
      </c>
      <c r="G476" s="693" t="s">
        <v>2282</v>
      </c>
      <c r="H476" s="848" t="s">
        <v>2283</v>
      </c>
      <c r="I476" s="693" t="s">
        <v>2282</v>
      </c>
      <c r="J476" s="847">
        <v>119575234</v>
      </c>
      <c r="K476" s="847">
        <v>318668316</v>
      </c>
      <c r="L476" s="841">
        <v>4385131444</v>
      </c>
      <c r="M476" s="847">
        <v>4955328825</v>
      </c>
      <c r="N476" s="839">
        <f>Indicadores[[#This Row],[Ventas]]/Indicadores[[#This Row],[Activos totales]]</f>
        <v>1.1300297125141319</v>
      </c>
      <c r="O476" s="837">
        <f>IF(Indicadores[[#This Row],[Ventas]]=0,0,Indicadores[[#This Row],[EBITDA]]/Indicadores[[#This Row],[Ventas]])</f>
        <v>6.4308207841282869E-2</v>
      </c>
      <c r="P476" s="837">
        <f>IF(Indicadores[[#This Row],[Ventas]]=0,0,Indicadores[[#This Row],[UAI]]/Indicadores[[#This Row],[Ventas]])</f>
        <v>2.4130635568871659E-2</v>
      </c>
      <c r="Q476" s="837">
        <f>IFERROR(Indicadores[[#This Row],[Ventas]]/Indicadores[[#This Row],[Activos totales]],0)</f>
        <v>1.1300297125141319</v>
      </c>
    </row>
    <row r="477" spans="1:17" x14ac:dyDescent="0.35">
      <c r="A477" s="13" t="str">
        <f>MID(Indicadores[[#This Row],[CIIU]],2,4)</f>
        <v>1012</v>
      </c>
      <c r="B477" s="13" t="str">
        <f>Indicadores[[#This Row],[CIIU]]&amp;Indicadores[[#This Row],[Año]]</f>
        <v>C10122017</v>
      </c>
      <c r="C477" s="14" t="s">
        <v>2279</v>
      </c>
      <c r="D477" s="14" t="s">
        <v>2280</v>
      </c>
      <c r="E477" s="848">
        <v>2017</v>
      </c>
      <c r="F477" s="849" t="s">
        <v>2284</v>
      </c>
      <c r="G477" s="693" t="s">
        <v>2285</v>
      </c>
      <c r="H477" s="848" t="s">
        <v>2286</v>
      </c>
      <c r="I477" s="693" t="s">
        <v>2285</v>
      </c>
      <c r="J477" s="847">
        <v>2174839</v>
      </c>
      <c r="K477" s="847">
        <v>15394062</v>
      </c>
      <c r="L477" s="841">
        <v>517380687</v>
      </c>
      <c r="M477" s="847">
        <v>588591302</v>
      </c>
      <c r="N477" s="839">
        <f>Indicadores[[#This Row],[Ventas]]/Indicadores[[#This Row],[Activos totales]]</f>
        <v>1.1376367861987859</v>
      </c>
      <c r="O477" s="837">
        <f>IF(Indicadores[[#This Row],[Ventas]]=0,0,Indicadores[[#This Row],[EBITDA]]/Indicadores[[#This Row],[Ventas]])</f>
        <v>2.6154076602375616E-2</v>
      </c>
      <c r="P477" s="837">
        <f>IF(Indicadores[[#This Row],[Ventas]]=0,0,Indicadores[[#This Row],[UAI]]/Indicadores[[#This Row],[Ventas]])</f>
        <v>3.6949900425134042E-3</v>
      </c>
      <c r="Q477" s="837">
        <f>IFERROR(Indicadores[[#This Row],[Ventas]]/Indicadores[[#This Row],[Activos totales]],0)</f>
        <v>1.1376367861987859</v>
      </c>
    </row>
    <row r="478" spans="1:17" x14ac:dyDescent="0.35">
      <c r="A478" s="13" t="str">
        <f>MID(Indicadores[[#This Row],[CIIU]],2,4)</f>
        <v>1020</v>
      </c>
      <c r="B478" s="13" t="str">
        <f>Indicadores[[#This Row],[CIIU]]&amp;Indicadores[[#This Row],[Año]]</f>
        <v>C10202017</v>
      </c>
      <c r="C478" s="14" t="s">
        <v>2279</v>
      </c>
      <c r="D478" s="14" t="s">
        <v>2280</v>
      </c>
      <c r="E478" s="848">
        <v>2017</v>
      </c>
      <c r="F478" s="849" t="s">
        <v>2287</v>
      </c>
      <c r="G478" s="693" t="s">
        <v>2288</v>
      </c>
      <c r="H478" s="848" t="s">
        <v>2289</v>
      </c>
      <c r="I478" s="693" t="s">
        <v>2288</v>
      </c>
      <c r="J478" s="847">
        <v>53691969</v>
      </c>
      <c r="K478" s="847">
        <v>78183780</v>
      </c>
      <c r="L478" s="841">
        <v>791330823</v>
      </c>
      <c r="M478" s="847">
        <v>718913498</v>
      </c>
      <c r="N478" s="839">
        <f>Indicadores[[#This Row],[Ventas]]/Indicadores[[#This Row],[Activos totales]]</f>
        <v>0.90848666209479878</v>
      </c>
      <c r="O478" s="837">
        <f>IF(Indicadores[[#This Row],[Ventas]]=0,0,Indicadores[[#This Row],[EBITDA]]/Indicadores[[#This Row],[Ventas]])</f>
        <v>0.10875269447229102</v>
      </c>
      <c r="P478" s="837">
        <f>IF(Indicadores[[#This Row],[Ventas]]=0,0,Indicadores[[#This Row],[UAI]]/Indicadores[[#This Row],[Ventas]])</f>
        <v>7.4684880934034151E-2</v>
      </c>
      <c r="Q478" s="837">
        <f>IFERROR(Indicadores[[#This Row],[Ventas]]/Indicadores[[#This Row],[Activos totales]],0)</f>
        <v>0.90848666209479878</v>
      </c>
    </row>
    <row r="479" spans="1:17" x14ac:dyDescent="0.35">
      <c r="A479" s="13" t="str">
        <f>MID(Indicadores[[#This Row],[CIIU]],2,4)</f>
        <v>1030</v>
      </c>
      <c r="B479" s="13" t="str">
        <f>Indicadores[[#This Row],[CIIU]]&amp;Indicadores[[#This Row],[Año]]</f>
        <v>C10302017</v>
      </c>
      <c r="C479" s="14" t="s">
        <v>2279</v>
      </c>
      <c r="D479" s="14" t="s">
        <v>2280</v>
      </c>
      <c r="E479" s="848">
        <v>2017</v>
      </c>
      <c r="F479" s="849" t="s">
        <v>2290</v>
      </c>
      <c r="G479" s="693" t="s">
        <v>2291</v>
      </c>
      <c r="H479" s="848" t="s">
        <v>2292</v>
      </c>
      <c r="I479" s="693" t="s">
        <v>2291</v>
      </c>
      <c r="J479" s="847">
        <v>-32173063</v>
      </c>
      <c r="K479" s="847">
        <v>362297883</v>
      </c>
      <c r="L479" s="841">
        <v>6547814454</v>
      </c>
      <c r="M479" s="847">
        <v>6731602325</v>
      </c>
      <c r="N479" s="839">
        <f>Indicadores[[#This Row],[Ventas]]/Indicadores[[#This Row],[Activos totales]]</f>
        <v>1.0280685826226681</v>
      </c>
      <c r="O479" s="837">
        <f>IF(Indicadores[[#This Row],[Ventas]]=0,0,Indicadores[[#This Row],[EBITDA]]/Indicadores[[#This Row],[Ventas]])</f>
        <v>5.3820452473029891E-2</v>
      </c>
      <c r="P479" s="837">
        <f>IF(Indicadores[[#This Row],[Ventas]]=0,0,Indicadores[[#This Row],[UAI]]/Indicadores[[#This Row],[Ventas]])</f>
        <v>-4.7794063651851269E-3</v>
      </c>
      <c r="Q479" s="837">
        <f>IFERROR(Indicadores[[#This Row],[Ventas]]/Indicadores[[#This Row],[Activos totales]],0)</f>
        <v>1.0280685826226681</v>
      </c>
    </row>
    <row r="480" spans="1:17" x14ac:dyDescent="0.35">
      <c r="A480" s="13" t="str">
        <f>MID(Indicadores[[#This Row],[CIIU]],2,4)</f>
        <v>1040</v>
      </c>
      <c r="B480" s="13" t="str">
        <f>Indicadores[[#This Row],[CIIU]]&amp;Indicadores[[#This Row],[Año]]</f>
        <v>C10402017</v>
      </c>
      <c r="C480" s="14" t="s">
        <v>2279</v>
      </c>
      <c r="D480" s="14" t="s">
        <v>2280</v>
      </c>
      <c r="E480" s="848">
        <v>2017</v>
      </c>
      <c r="F480" s="849" t="s">
        <v>2293</v>
      </c>
      <c r="G480" s="693" t="s">
        <v>2294</v>
      </c>
      <c r="H480" s="848" t="s">
        <v>2295</v>
      </c>
      <c r="I480" s="693" t="s">
        <v>2294</v>
      </c>
      <c r="J480" s="847">
        <v>-15270696</v>
      </c>
      <c r="K480" s="847">
        <v>217074229</v>
      </c>
      <c r="L480" s="841">
        <v>3123105702</v>
      </c>
      <c r="M480" s="847">
        <v>4177252729</v>
      </c>
      <c r="N480" s="839">
        <f>Indicadores[[#This Row],[Ventas]]/Indicadores[[#This Row],[Activos totales]]</f>
        <v>1.337531652010669</v>
      </c>
      <c r="O480" s="837">
        <f>IF(Indicadores[[#This Row],[Ventas]]=0,0,Indicadores[[#This Row],[EBITDA]]/Indicadores[[#This Row],[Ventas]])</f>
        <v>5.1965787823416133E-2</v>
      </c>
      <c r="P480" s="837">
        <f>IF(Indicadores[[#This Row],[Ventas]]=0,0,Indicadores[[#This Row],[UAI]]/Indicadores[[#This Row],[Ventas]])</f>
        <v>-3.6556792204563786E-3</v>
      </c>
      <c r="Q480" s="837">
        <f>IFERROR(Indicadores[[#This Row],[Ventas]]/Indicadores[[#This Row],[Activos totales]],0)</f>
        <v>1.337531652010669</v>
      </c>
    </row>
    <row r="481" spans="1:17" x14ac:dyDescent="0.35">
      <c r="A481" s="13" t="str">
        <f>MID(Indicadores[[#This Row],[CIIU]],2,4)</f>
        <v>1051</v>
      </c>
      <c r="B481" s="13" t="str">
        <f>Indicadores[[#This Row],[CIIU]]&amp;Indicadores[[#This Row],[Año]]</f>
        <v>C10512017</v>
      </c>
      <c r="C481" s="14" t="s">
        <v>2279</v>
      </c>
      <c r="D481" s="14" t="s">
        <v>2280</v>
      </c>
      <c r="E481" s="848">
        <v>2017</v>
      </c>
      <c r="F481" s="849" t="s">
        <v>2296</v>
      </c>
      <c r="G481" s="693" t="s">
        <v>2297</v>
      </c>
      <c r="H481" s="848" t="s">
        <v>2298</v>
      </c>
      <c r="I481" s="693" t="s">
        <v>2297</v>
      </c>
      <c r="J481" s="847">
        <v>209902314</v>
      </c>
      <c r="K481" s="847">
        <v>435890877</v>
      </c>
      <c r="L481" s="841">
        <v>6128312127</v>
      </c>
      <c r="M481" s="847">
        <v>7147661430</v>
      </c>
      <c r="N481" s="839">
        <f>Indicadores[[#This Row],[Ventas]]/Indicadores[[#This Row],[Activos totales]]</f>
        <v>1.166334429754152</v>
      </c>
      <c r="O481" s="837">
        <f>IF(Indicadores[[#This Row],[Ventas]]=0,0,Indicadores[[#This Row],[EBITDA]]/Indicadores[[#This Row],[Ventas]])</f>
        <v>6.0983705127734343E-2</v>
      </c>
      <c r="P481" s="837">
        <f>IF(Indicadores[[#This Row],[Ventas]]=0,0,Indicadores[[#This Row],[UAI]]/Indicadores[[#This Row],[Ventas]])</f>
        <v>2.9366571997800964E-2</v>
      </c>
      <c r="Q481" s="837">
        <f>IFERROR(Indicadores[[#This Row],[Ventas]]/Indicadores[[#This Row],[Activos totales]],0)</f>
        <v>1.166334429754152</v>
      </c>
    </row>
    <row r="482" spans="1:17" x14ac:dyDescent="0.35">
      <c r="A482" s="13" t="str">
        <f>MID(Indicadores[[#This Row],[CIIU]],2,4)</f>
        <v>1052</v>
      </c>
      <c r="B482" s="13" t="str">
        <f>Indicadores[[#This Row],[CIIU]]&amp;Indicadores[[#This Row],[Año]]</f>
        <v>C10522017</v>
      </c>
      <c r="C482" s="14" t="s">
        <v>2279</v>
      </c>
      <c r="D482" s="14" t="s">
        <v>2280</v>
      </c>
      <c r="E482" s="848">
        <v>2017</v>
      </c>
      <c r="F482" s="849" t="s">
        <v>2299</v>
      </c>
      <c r="G482" s="693" t="s">
        <v>2300</v>
      </c>
      <c r="H482" s="848" t="s">
        <v>2301</v>
      </c>
      <c r="I482" s="693" t="s">
        <v>2300</v>
      </c>
      <c r="J482" s="847">
        <v>88206933</v>
      </c>
      <c r="K482" s="847">
        <v>635069449</v>
      </c>
      <c r="L482" s="841">
        <v>488111042</v>
      </c>
      <c r="M482" s="847">
        <v>754733181</v>
      </c>
      <c r="N482" s="839">
        <f>Indicadores[[#This Row],[Ventas]]/Indicadores[[#This Row],[Activos totales]]</f>
        <v>1.546232549682824</v>
      </c>
      <c r="O482" s="837">
        <f>IF(Indicadores[[#This Row],[Ventas]]=0,0,Indicadores[[#This Row],[EBITDA]]/Indicadores[[#This Row],[Ventas]])</f>
        <v>0.84144895837036215</v>
      </c>
      <c r="P482" s="837">
        <f>IF(Indicadores[[#This Row],[Ventas]]=0,0,Indicadores[[#This Row],[UAI]]/Indicadores[[#This Row],[Ventas]])</f>
        <v>0.11687167759489298</v>
      </c>
      <c r="Q482" s="837">
        <f>IFERROR(Indicadores[[#This Row],[Ventas]]/Indicadores[[#This Row],[Activos totales]],0)</f>
        <v>1.546232549682824</v>
      </c>
    </row>
    <row r="483" spans="1:17" x14ac:dyDescent="0.35">
      <c r="A483" s="13" t="str">
        <f>MID(Indicadores[[#This Row],[CIIU]],2,4)</f>
        <v>1061</v>
      </c>
      <c r="B483" s="13" t="str">
        <f>Indicadores[[#This Row],[CIIU]]&amp;Indicadores[[#This Row],[Año]]</f>
        <v>C10612017</v>
      </c>
      <c r="C483" s="14" t="s">
        <v>2279</v>
      </c>
      <c r="D483" s="14" t="s">
        <v>2280</v>
      </c>
      <c r="E483" s="848">
        <v>2017</v>
      </c>
      <c r="F483" s="849" t="s">
        <v>2302</v>
      </c>
      <c r="G483" s="693" t="s">
        <v>2303</v>
      </c>
      <c r="H483" s="848" t="s">
        <v>2304</v>
      </c>
      <c r="I483" s="693" t="s">
        <v>2303</v>
      </c>
      <c r="J483" s="847">
        <v>-51414921</v>
      </c>
      <c r="K483" s="847">
        <v>-760350</v>
      </c>
      <c r="L483" s="841">
        <v>1070304436</v>
      </c>
      <c r="M483" s="847">
        <v>2913405871</v>
      </c>
      <c r="N483" s="839">
        <f>Indicadores[[#This Row],[Ventas]]/Indicadores[[#This Row],[Activos totales]]</f>
        <v>2.7220347529233262</v>
      </c>
      <c r="O483" s="837">
        <f>IF(Indicadores[[#This Row],[Ventas]]=0,0,Indicadores[[#This Row],[EBITDA]]/Indicadores[[#This Row],[Ventas]])</f>
        <v>-2.6098320442356245E-4</v>
      </c>
      <c r="P483" s="837">
        <f>IF(Indicadores[[#This Row],[Ventas]]=0,0,Indicadores[[#This Row],[UAI]]/Indicadores[[#This Row],[Ventas]])</f>
        <v>-1.7647702818128906E-2</v>
      </c>
      <c r="Q483" s="837">
        <f>IFERROR(Indicadores[[#This Row],[Ventas]]/Indicadores[[#This Row],[Activos totales]],0)</f>
        <v>2.7220347529233262</v>
      </c>
    </row>
    <row r="484" spans="1:17" x14ac:dyDescent="0.35">
      <c r="A484" s="13" t="str">
        <f>MID(Indicadores[[#This Row],[CIIU]],2,4)</f>
        <v>1062</v>
      </c>
      <c r="B484" s="13" t="str">
        <f>Indicadores[[#This Row],[CIIU]]&amp;Indicadores[[#This Row],[Año]]</f>
        <v>C10622017</v>
      </c>
      <c r="C484" s="14" t="s">
        <v>2279</v>
      </c>
      <c r="D484" s="14" t="s">
        <v>2280</v>
      </c>
      <c r="E484" s="848">
        <v>2017</v>
      </c>
      <c r="F484" s="849" t="s">
        <v>2305</v>
      </c>
      <c r="G484" s="693" t="s">
        <v>2306</v>
      </c>
      <c r="H484" s="848" t="s">
        <v>2307</v>
      </c>
      <c r="I484" s="693" t="s">
        <v>2306</v>
      </c>
      <c r="J484" s="847">
        <v>57828292</v>
      </c>
      <c r="K484" s="847">
        <v>140794743</v>
      </c>
      <c r="L484" s="841">
        <v>1824111165</v>
      </c>
      <c r="M484" s="847">
        <v>1266298407</v>
      </c>
      <c r="N484" s="839">
        <f>Indicadores[[#This Row],[Ventas]]/Indicadores[[#This Row],[Activos totales]]</f>
        <v>0.69420023916141094</v>
      </c>
      <c r="O484" s="837">
        <f>IF(Indicadores[[#This Row],[Ventas]]=0,0,Indicadores[[#This Row],[EBITDA]]/Indicadores[[#This Row],[Ventas]])</f>
        <v>0.11118606974603894</v>
      </c>
      <c r="P484" s="837">
        <f>IF(Indicadores[[#This Row],[Ventas]]=0,0,Indicadores[[#This Row],[UAI]]/Indicadores[[#This Row],[Ventas]])</f>
        <v>4.5667191619550067E-2</v>
      </c>
      <c r="Q484" s="837">
        <f>IFERROR(Indicadores[[#This Row],[Ventas]]/Indicadores[[#This Row],[Activos totales]],0)</f>
        <v>0.69420023916141094</v>
      </c>
    </row>
    <row r="485" spans="1:17" x14ac:dyDescent="0.35">
      <c r="A485" s="13" t="str">
        <f>MID(Indicadores[[#This Row],[CIIU]],2,4)</f>
        <v>1063</v>
      </c>
      <c r="B485" s="13" t="str">
        <f>Indicadores[[#This Row],[CIIU]]&amp;Indicadores[[#This Row],[Año]]</f>
        <v>C10632017</v>
      </c>
      <c r="C485" s="14" t="s">
        <v>2279</v>
      </c>
      <c r="D485" s="14" t="s">
        <v>2280</v>
      </c>
      <c r="E485" s="848">
        <v>2017</v>
      </c>
      <c r="F485" s="849" t="s">
        <v>2308</v>
      </c>
      <c r="G485" s="838" t="s">
        <v>2309</v>
      </c>
      <c r="H485" s="848" t="s">
        <v>2310</v>
      </c>
      <c r="I485" s="693" t="s">
        <v>2309</v>
      </c>
      <c r="J485" s="847">
        <v>17817514</v>
      </c>
      <c r="K485" s="847">
        <v>21594888</v>
      </c>
      <c r="L485" s="841">
        <v>158618266</v>
      </c>
      <c r="M485" s="847">
        <v>103390133</v>
      </c>
      <c r="N485" s="839">
        <f>Indicadores[[#This Row],[Ventas]]/Indicadores[[#This Row],[Activos totales]]</f>
        <v>0.65181731970263757</v>
      </c>
      <c r="O485" s="837">
        <f>IF(Indicadores[[#This Row],[Ventas]]=0,0,Indicadores[[#This Row],[EBITDA]]/Indicadores[[#This Row],[Ventas]])</f>
        <v>0.20886797775954113</v>
      </c>
      <c r="P485" s="837">
        <f>IF(Indicadores[[#This Row],[Ventas]]=0,0,Indicadores[[#This Row],[UAI]]/Indicadores[[#This Row],[Ventas]])</f>
        <v>0.17233282793049506</v>
      </c>
      <c r="Q485" s="837">
        <f>IFERROR(Indicadores[[#This Row],[Ventas]]/Indicadores[[#This Row],[Activos totales]],0)</f>
        <v>0.65181731970263757</v>
      </c>
    </row>
    <row r="486" spans="1:17" x14ac:dyDescent="0.35">
      <c r="A486" s="13" t="str">
        <f>MID(Indicadores[[#This Row],[CIIU]],2,4)</f>
        <v>1071</v>
      </c>
      <c r="B486" s="13" t="str">
        <f>Indicadores[[#This Row],[CIIU]]&amp;Indicadores[[#This Row],[Año]]</f>
        <v>C10712017</v>
      </c>
      <c r="C486" s="14" t="s">
        <v>2279</v>
      </c>
      <c r="D486" s="14" t="s">
        <v>2280</v>
      </c>
      <c r="E486" s="848">
        <v>2017</v>
      </c>
      <c r="F486" s="849" t="s">
        <v>2311</v>
      </c>
      <c r="G486" s="693" t="s">
        <v>2312</v>
      </c>
      <c r="H486" s="848" t="s">
        <v>2313</v>
      </c>
      <c r="I486" s="693" t="s">
        <v>2312</v>
      </c>
      <c r="J486" s="847">
        <v>414358784</v>
      </c>
      <c r="K486" s="847">
        <v>848449896</v>
      </c>
      <c r="L486" s="841">
        <v>7643941654</v>
      </c>
      <c r="M486" s="847">
        <v>3876787016</v>
      </c>
      <c r="N486" s="839">
        <f>Indicadores[[#This Row],[Ventas]]/Indicadores[[#This Row],[Activos totales]]</f>
        <v>0.50717119406207334</v>
      </c>
      <c r="O486" s="837">
        <f>IF(Indicadores[[#This Row],[Ventas]]=0,0,Indicadores[[#This Row],[EBITDA]]/Indicadores[[#This Row],[Ventas]])</f>
        <v>0.21885388402776265</v>
      </c>
      <c r="P486" s="837">
        <f>IF(Indicadores[[#This Row],[Ventas]]=0,0,Indicadores[[#This Row],[UAI]]/Indicadores[[#This Row],[Ventas]])</f>
        <v>0.10688200881035968</v>
      </c>
      <c r="Q486" s="837">
        <f>IFERROR(Indicadores[[#This Row],[Ventas]]/Indicadores[[#This Row],[Activos totales]],0)</f>
        <v>0.50717119406207334</v>
      </c>
    </row>
    <row r="487" spans="1:17" x14ac:dyDescent="0.35">
      <c r="A487" s="13" t="str">
        <f>MID(Indicadores[[#This Row],[CIIU]],2,4)</f>
        <v>1072</v>
      </c>
      <c r="B487" s="13" t="str">
        <f>Indicadores[[#This Row],[CIIU]]&amp;Indicadores[[#This Row],[Año]]</f>
        <v>C10722017</v>
      </c>
      <c r="C487" s="14" t="s">
        <v>2279</v>
      </c>
      <c r="D487" s="14" t="s">
        <v>2280</v>
      </c>
      <c r="E487" s="848">
        <v>2017</v>
      </c>
      <c r="F487" s="849" t="s">
        <v>2314</v>
      </c>
      <c r="G487" s="693" t="s">
        <v>2315</v>
      </c>
      <c r="H487" s="848" t="s">
        <v>2316</v>
      </c>
      <c r="I487" s="693" t="s">
        <v>2315</v>
      </c>
      <c r="J487" s="847">
        <v>6396460</v>
      </c>
      <c r="K487" s="847">
        <v>15562238</v>
      </c>
      <c r="L487" s="841">
        <v>141705793</v>
      </c>
      <c r="M487" s="847">
        <v>148246984</v>
      </c>
      <c r="N487" s="839">
        <f>Indicadores[[#This Row],[Ventas]]/Indicadores[[#This Row],[Activos totales]]</f>
        <v>1.0461603641002877</v>
      </c>
      <c r="O487" s="837">
        <f>IF(Indicadores[[#This Row],[Ventas]]=0,0,Indicadores[[#This Row],[EBITDA]]/Indicadores[[#This Row],[Ventas]])</f>
        <v>0.10497507321970206</v>
      </c>
      <c r="P487" s="837">
        <f>IF(Indicadores[[#This Row],[Ventas]]=0,0,Indicadores[[#This Row],[UAI]]/Indicadores[[#This Row],[Ventas]])</f>
        <v>4.3147319610900146E-2</v>
      </c>
      <c r="Q487" s="837">
        <f>IFERROR(Indicadores[[#This Row],[Ventas]]/Indicadores[[#This Row],[Activos totales]],0)</f>
        <v>1.0461603641002877</v>
      </c>
    </row>
    <row r="488" spans="1:17" x14ac:dyDescent="0.35">
      <c r="A488" s="13" t="str">
        <f>MID(Indicadores[[#This Row],[CIIU]],2,4)</f>
        <v>1081</v>
      </c>
      <c r="B488" s="13" t="str">
        <f>Indicadores[[#This Row],[CIIU]]&amp;Indicadores[[#This Row],[Año]]</f>
        <v>C10812017</v>
      </c>
      <c r="C488" s="14" t="s">
        <v>2279</v>
      </c>
      <c r="D488" s="14" t="s">
        <v>2280</v>
      </c>
      <c r="E488" s="848">
        <v>2017</v>
      </c>
      <c r="F488" s="849" t="s">
        <v>2317</v>
      </c>
      <c r="G488" s="693" t="s">
        <v>2318</v>
      </c>
      <c r="H488" s="848" t="s">
        <v>2319</v>
      </c>
      <c r="I488" s="693" t="s">
        <v>2318</v>
      </c>
      <c r="J488" s="847">
        <v>139098818</v>
      </c>
      <c r="K488" s="847">
        <v>414869006</v>
      </c>
      <c r="L488" s="841">
        <v>6640224157</v>
      </c>
      <c r="M488" s="847">
        <v>11303080371</v>
      </c>
      <c r="N488" s="839">
        <f>Indicadores[[#This Row],[Ventas]]/Indicadores[[#This Row],[Activos totales]]</f>
        <v>1.7022136758869058</v>
      </c>
      <c r="O488" s="837">
        <f>IF(Indicadores[[#This Row],[Ventas]]=0,0,Indicadores[[#This Row],[EBITDA]]/Indicadores[[#This Row],[Ventas]])</f>
        <v>3.6704065828322155E-2</v>
      </c>
      <c r="P488" s="837">
        <f>IF(Indicadores[[#This Row],[Ventas]]=0,0,Indicadores[[#This Row],[UAI]]/Indicadores[[#This Row],[Ventas]])</f>
        <v>1.2306275230677999E-2</v>
      </c>
      <c r="Q488" s="837">
        <f>IFERROR(Indicadores[[#This Row],[Ventas]]/Indicadores[[#This Row],[Activos totales]],0)</f>
        <v>1.7022136758869058</v>
      </c>
    </row>
    <row r="489" spans="1:17" x14ac:dyDescent="0.35">
      <c r="A489" s="13" t="str">
        <f>MID(Indicadores[[#This Row],[CIIU]],2,4)</f>
        <v>1082</v>
      </c>
      <c r="B489" s="13" t="str">
        <f>Indicadores[[#This Row],[CIIU]]&amp;Indicadores[[#This Row],[Año]]</f>
        <v>C10822017</v>
      </c>
      <c r="C489" s="14" t="s">
        <v>2279</v>
      </c>
      <c r="D489" s="14" t="s">
        <v>2280</v>
      </c>
      <c r="E489" s="848">
        <v>2017</v>
      </c>
      <c r="F489" s="849" t="s">
        <v>2320</v>
      </c>
      <c r="G489" s="693" t="s">
        <v>2321</v>
      </c>
      <c r="H489" s="848" t="s">
        <v>2322</v>
      </c>
      <c r="I489" s="693" t="s">
        <v>2321</v>
      </c>
      <c r="J489" s="847">
        <v>3269427004</v>
      </c>
      <c r="K489" s="847">
        <v>24083308588</v>
      </c>
      <c r="L489" s="841">
        <v>159902130339</v>
      </c>
      <c r="M489" s="847">
        <v>226741291780</v>
      </c>
      <c r="N489" s="839">
        <f>Indicadores[[#This Row],[Ventas]]/Indicadores[[#This Row],[Activos totales]]</f>
        <v>1.4180004437670584</v>
      </c>
      <c r="O489" s="837">
        <f>IF(Indicadores[[#This Row],[Ventas]]=0,0,Indicadores[[#This Row],[EBITDA]]/Indicadores[[#This Row],[Ventas]])</f>
        <v>0.10621492185625935</v>
      </c>
      <c r="P489" s="837">
        <f>IF(Indicadores[[#This Row],[Ventas]]=0,0,Indicadores[[#This Row],[UAI]]/Indicadores[[#This Row],[Ventas]])</f>
        <v>1.4419195455463061E-2</v>
      </c>
      <c r="Q489" s="837">
        <f>IFERROR(Indicadores[[#This Row],[Ventas]]/Indicadores[[#This Row],[Activos totales]],0)</f>
        <v>1.4180004437670584</v>
      </c>
    </row>
    <row r="490" spans="1:17" x14ac:dyDescent="0.35">
      <c r="A490" s="13" t="str">
        <f>MID(Indicadores[[#This Row],[CIIU]],2,4)</f>
        <v>1083</v>
      </c>
      <c r="B490" s="13" t="str">
        <f>Indicadores[[#This Row],[CIIU]]&amp;Indicadores[[#This Row],[Año]]</f>
        <v>C10832017</v>
      </c>
      <c r="C490" s="14" t="s">
        <v>2279</v>
      </c>
      <c r="D490" s="14" t="s">
        <v>2280</v>
      </c>
      <c r="E490" s="848">
        <v>2017</v>
      </c>
      <c r="F490" s="849" t="s">
        <v>2323</v>
      </c>
      <c r="G490" s="693" t="s">
        <v>2324</v>
      </c>
      <c r="H490" s="848" t="s">
        <v>2325</v>
      </c>
      <c r="I490" s="693" t="s">
        <v>2324</v>
      </c>
      <c r="J490" s="847">
        <v>20931206</v>
      </c>
      <c r="K490" s="847">
        <v>40925365</v>
      </c>
      <c r="L490" s="841">
        <v>402034591</v>
      </c>
      <c r="M490" s="847">
        <v>304071253</v>
      </c>
      <c r="N490" s="839">
        <f>Indicadores[[#This Row],[Ventas]]/Indicadores[[#This Row],[Activos totales]]</f>
        <v>0.75633107152215173</v>
      </c>
      <c r="O490" s="837">
        <f>IF(Indicadores[[#This Row],[Ventas]]=0,0,Indicadores[[#This Row],[EBITDA]]/Indicadores[[#This Row],[Ventas]])</f>
        <v>0.13459136500483326</v>
      </c>
      <c r="P490" s="837">
        <f>IF(Indicadores[[#This Row],[Ventas]]=0,0,Indicadores[[#This Row],[UAI]]/Indicadores[[#This Row],[Ventas]])</f>
        <v>6.8836517077791634E-2</v>
      </c>
      <c r="Q490" s="837">
        <f>IFERROR(Indicadores[[#This Row],[Ventas]]/Indicadores[[#This Row],[Activos totales]],0)</f>
        <v>0.75633107152215173</v>
      </c>
    </row>
    <row r="491" spans="1:17" x14ac:dyDescent="0.35">
      <c r="A491" s="13" t="str">
        <f>MID(Indicadores[[#This Row],[CIIU]],2,4)</f>
        <v>1084</v>
      </c>
      <c r="B491" s="13" t="str">
        <f>Indicadores[[#This Row],[CIIU]]&amp;Indicadores[[#This Row],[Año]]</f>
        <v>C10842017</v>
      </c>
      <c r="C491" s="14" t="s">
        <v>2279</v>
      </c>
      <c r="D491" s="14" t="s">
        <v>2280</v>
      </c>
      <c r="E491" s="848">
        <v>2017</v>
      </c>
      <c r="F491" s="849" t="s">
        <v>2326</v>
      </c>
      <c r="G491" s="693" t="s">
        <v>2327</v>
      </c>
      <c r="H491" s="848" t="s">
        <v>2328</v>
      </c>
      <c r="I491" s="693" t="s">
        <v>2327</v>
      </c>
      <c r="J491" s="847">
        <v>1143613</v>
      </c>
      <c r="K491" s="847">
        <v>2339183</v>
      </c>
      <c r="L491" s="841">
        <v>15974976</v>
      </c>
      <c r="M491" s="847">
        <v>17524550</v>
      </c>
      <c r="N491" s="839">
        <f>Indicadores[[#This Row],[Ventas]]/Indicadores[[#This Row],[Activos totales]]</f>
        <v>1.0970000831300153</v>
      </c>
      <c r="O491" s="837">
        <f>IF(Indicadores[[#This Row],[Ventas]]=0,0,Indicadores[[#This Row],[EBITDA]]/Indicadores[[#This Row],[Ventas]])</f>
        <v>0.13348034614298226</v>
      </c>
      <c r="P491" s="837">
        <f>IF(Indicadores[[#This Row],[Ventas]]=0,0,Indicadores[[#This Row],[UAI]]/Indicadores[[#This Row],[Ventas]])</f>
        <v>6.5257766961205846E-2</v>
      </c>
      <c r="Q491" s="837">
        <f>IFERROR(Indicadores[[#This Row],[Ventas]]/Indicadores[[#This Row],[Activos totales]],0)</f>
        <v>1.0970000831300153</v>
      </c>
    </row>
    <row r="492" spans="1:17" x14ac:dyDescent="0.35">
      <c r="A492" s="13" t="str">
        <f>MID(Indicadores[[#This Row],[CIIU]],2,4)</f>
        <v>1089</v>
      </c>
      <c r="B492" s="13" t="str">
        <f>Indicadores[[#This Row],[CIIU]]&amp;Indicadores[[#This Row],[Año]]</f>
        <v>C10892017</v>
      </c>
      <c r="C492" s="14" t="s">
        <v>2279</v>
      </c>
      <c r="D492" s="14" t="s">
        <v>2280</v>
      </c>
      <c r="E492" s="848">
        <v>2017</v>
      </c>
      <c r="F492" s="849" t="s">
        <v>2329</v>
      </c>
      <c r="G492" s="693" t="s">
        <v>2330</v>
      </c>
      <c r="H492" s="848" t="s">
        <v>2331</v>
      </c>
      <c r="I492" s="693" t="s">
        <v>2330</v>
      </c>
      <c r="J492" s="847">
        <v>715246045</v>
      </c>
      <c r="K492" s="847">
        <v>945313785</v>
      </c>
      <c r="L492" s="841">
        <v>6448622548</v>
      </c>
      <c r="M492" s="847">
        <v>6358384496</v>
      </c>
      <c r="N492" s="839">
        <f>Indicadores[[#This Row],[Ventas]]/Indicadores[[#This Row],[Activos totales]]</f>
        <v>0.98600661593567962</v>
      </c>
      <c r="O492" s="837">
        <f>IF(Indicadores[[#This Row],[Ventas]]=0,0,Indicadores[[#This Row],[EBITDA]]/Indicadores[[#This Row],[Ventas]])</f>
        <v>0.14867200711040485</v>
      </c>
      <c r="P492" s="837">
        <f>IF(Indicadores[[#This Row],[Ventas]]=0,0,Indicadores[[#This Row],[UAI]]/Indicadores[[#This Row],[Ventas]])</f>
        <v>0.11248864321589148</v>
      </c>
      <c r="Q492" s="837">
        <f>IFERROR(Indicadores[[#This Row],[Ventas]]/Indicadores[[#This Row],[Activos totales]],0)</f>
        <v>0.98600661593567962</v>
      </c>
    </row>
    <row r="493" spans="1:17" x14ac:dyDescent="0.35">
      <c r="A493" s="13" t="str">
        <f>MID(Indicadores[[#This Row],[CIIU]],2,4)</f>
        <v>1090</v>
      </c>
      <c r="B493" s="13" t="str">
        <f>Indicadores[[#This Row],[CIIU]]&amp;Indicadores[[#This Row],[Año]]</f>
        <v>C10902017</v>
      </c>
      <c r="C493" s="14" t="s">
        <v>2279</v>
      </c>
      <c r="D493" s="14" t="s">
        <v>2280</v>
      </c>
      <c r="E493" s="848">
        <v>2017</v>
      </c>
      <c r="F493" s="849" t="s">
        <v>2332</v>
      </c>
      <c r="G493" s="693" t="s">
        <v>2333</v>
      </c>
      <c r="H493" s="848" t="s">
        <v>2334</v>
      </c>
      <c r="I493" s="693" t="s">
        <v>2333</v>
      </c>
      <c r="J493" s="847">
        <v>432450936</v>
      </c>
      <c r="K493" s="847">
        <v>609709052</v>
      </c>
      <c r="L493" s="841">
        <v>4264109884</v>
      </c>
      <c r="M493" s="847">
        <v>8572778451</v>
      </c>
      <c r="N493" s="839">
        <f>Indicadores[[#This Row],[Ventas]]/Indicadores[[#This Row],[Activos totales]]</f>
        <v>2.0104497032703579</v>
      </c>
      <c r="O493" s="837">
        <f>IF(Indicadores[[#This Row],[Ventas]]=0,0,Indicadores[[#This Row],[EBITDA]]/Indicadores[[#This Row],[Ventas]])</f>
        <v>7.1121522092861086E-2</v>
      </c>
      <c r="P493" s="837">
        <f>IF(Indicadores[[#This Row],[Ventas]]=0,0,Indicadores[[#This Row],[UAI]]/Indicadores[[#This Row],[Ventas]])</f>
        <v>5.0444664874029883E-2</v>
      </c>
      <c r="Q493" s="837">
        <f>IFERROR(Indicadores[[#This Row],[Ventas]]/Indicadores[[#This Row],[Activos totales]],0)</f>
        <v>2.0104497032703579</v>
      </c>
    </row>
    <row r="494" spans="1:17" x14ac:dyDescent="0.35">
      <c r="A494" s="13" t="str">
        <f>MID(Indicadores[[#This Row],[CIIU]],2,4)</f>
        <v>1101</v>
      </c>
      <c r="B494" s="13" t="str">
        <f>Indicadores[[#This Row],[CIIU]]&amp;Indicadores[[#This Row],[Año]]</f>
        <v>C11012017</v>
      </c>
      <c r="C494" s="14" t="s">
        <v>2279</v>
      </c>
      <c r="D494" s="14" t="s">
        <v>2335</v>
      </c>
      <c r="E494" s="848">
        <v>2017</v>
      </c>
      <c r="F494" s="849" t="s">
        <v>2336</v>
      </c>
      <c r="G494" s="693" t="s">
        <v>2337</v>
      </c>
      <c r="H494" s="848" t="s">
        <v>2338</v>
      </c>
      <c r="I494" s="693" t="s">
        <v>2337</v>
      </c>
      <c r="J494" s="847">
        <v>7910864</v>
      </c>
      <c r="K494" s="847">
        <v>10578373</v>
      </c>
      <c r="L494" s="841">
        <v>59779966</v>
      </c>
      <c r="M494" s="847">
        <v>44112640</v>
      </c>
      <c r="N494" s="839">
        <f>Indicadores[[#This Row],[Ventas]]/Indicadores[[#This Row],[Activos totales]]</f>
        <v>0.73791677967832903</v>
      </c>
      <c r="O494" s="837">
        <f>IF(Indicadores[[#This Row],[Ventas]]=0,0,Indicadores[[#This Row],[EBITDA]]/Indicadores[[#This Row],[Ventas]])</f>
        <v>0.23980367078460957</v>
      </c>
      <c r="P494" s="837">
        <f>IF(Indicadores[[#This Row],[Ventas]]=0,0,Indicadores[[#This Row],[UAI]]/Indicadores[[#This Row],[Ventas]])</f>
        <v>0.17933327046397585</v>
      </c>
      <c r="Q494" s="837">
        <f>IFERROR(Indicadores[[#This Row],[Ventas]]/Indicadores[[#This Row],[Activos totales]],0)</f>
        <v>0.73791677967832903</v>
      </c>
    </row>
    <row r="495" spans="1:17" x14ac:dyDescent="0.35">
      <c r="A495" s="13" t="str">
        <f>MID(Indicadores[[#This Row],[CIIU]],2,4)</f>
        <v>1102</v>
      </c>
      <c r="B495" s="13" t="str">
        <f>Indicadores[[#This Row],[CIIU]]&amp;Indicadores[[#This Row],[Año]]</f>
        <v>C11022017</v>
      </c>
      <c r="C495" s="14" t="s">
        <v>2279</v>
      </c>
      <c r="D495" s="14" t="s">
        <v>2335</v>
      </c>
      <c r="E495" s="848">
        <v>2017</v>
      </c>
      <c r="F495" s="849" t="s">
        <v>2339</v>
      </c>
      <c r="G495" s="693" t="s">
        <v>2340</v>
      </c>
      <c r="H495" s="848" t="s">
        <v>2341</v>
      </c>
      <c r="I495" s="693" t="s">
        <v>2340</v>
      </c>
      <c r="J495" s="847">
        <v>477736</v>
      </c>
      <c r="K495" s="847">
        <v>-1234199</v>
      </c>
      <c r="L495" s="841">
        <v>90421669</v>
      </c>
      <c r="M495" s="847">
        <v>27822450</v>
      </c>
      <c r="N495" s="839">
        <f>Indicadores[[#This Row],[Ventas]]/Indicadores[[#This Row],[Activos totales]]</f>
        <v>0.30769670929210563</v>
      </c>
      <c r="O495" s="837">
        <f>IF(Indicadores[[#This Row],[Ventas]]=0,0,Indicadores[[#This Row],[EBITDA]]/Indicadores[[#This Row],[Ventas]])</f>
        <v>-4.435982453019055E-2</v>
      </c>
      <c r="P495" s="837">
        <f>IF(Indicadores[[#This Row],[Ventas]]=0,0,Indicadores[[#This Row],[UAI]]/Indicadores[[#This Row],[Ventas]])</f>
        <v>1.7170881787908685E-2</v>
      </c>
      <c r="Q495" s="837">
        <f>IFERROR(Indicadores[[#This Row],[Ventas]]/Indicadores[[#This Row],[Activos totales]],0)</f>
        <v>0.30769670929210563</v>
      </c>
    </row>
    <row r="496" spans="1:17" x14ac:dyDescent="0.35">
      <c r="A496" s="13" t="str">
        <f>MID(Indicadores[[#This Row],[CIIU]],2,4)</f>
        <v>1103</v>
      </c>
      <c r="B496" s="13" t="str">
        <f>Indicadores[[#This Row],[CIIU]]&amp;Indicadores[[#This Row],[Año]]</f>
        <v>C11032017</v>
      </c>
      <c r="C496" s="14" t="s">
        <v>2279</v>
      </c>
      <c r="D496" s="14" t="s">
        <v>2335</v>
      </c>
      <c r="E496" s="848">
        <v>2017</v>
      </c>
      <c r="F496" s="849" t="s">
        <v>2342</v>
      </c>
      <c r="G496" s="693" t="s">
        <v>2343</v>
      </c>
      <c r="H496" s="848" t="s">
        <v>2344</v>
      </c>
      <c r="I496" s="693" t="s">
        <v>2343</v>
      </c>
      <c r="J496" s="847">
        <v>992650337</v>
      </c>
      <c r="K496" s="847">
        <v>1034983751</v>
      </c>
      <c r="L496" s="841">
        <v>12185925872</v>
      </c>
      <c r="M496" s="847">
        <v>1981578347</v>
      </c>
      <c r="N496" s="839">
        <f>Indicadores[[#This Row],[Ventas]]/Indicadores[[#This Row],[Activos totales]]</f>
        <v>0.16261204670160823</v>
      </c>
      <c r="O496" s="837">
        <f>IF(Indicadores[[#This Row],[Ventas]]=0,0,Indicadores[[#This Row],[EBITDA]]/Indicadores[[#This Row],[Ventas]])</f>
        <v>0.52230271519009486</v>
      </c>
      <c r="P496" s="837">
        <f>IF(Indicadores[[#This Row],[Ventas]]=0,0,Indicadores[[#This Row],[UAI]]/Indicadores[[#This Row],[Ventas]])</f>
        <v>0.50093923286092512</v>
      </c>
      <c r="Q496" s="837">
        <f>IFERROR(Indicadores[[#This Row],[Ventas]]/Indicadores[[#This Row],[Activos totales]],0)</f>
        <v>0.16261204670160823</v>
      </c>
    </row>
    <row r="497" spans="1:17" x14ac:dyDescent="0.35">
      <c r="A497" s="13" t="str">
        <f>MID(Indicadores[[#This Row],[CIIU]],2,4)</f>
        <v>1104</v>
      </c>
      <c r="B497" s="13" t="str">
        <f>Indicadores[[#This Row],[CIIU]]&amp;Indicadores[[#This Row],[Año]]</f>
        <v>C11042017</v>
      </c>
      <c r="C497" s="14" t="s">
        <v>2279</v>
      </c>
      <c r="D497" s="14" t="s">
        <v>2335</v>
      </c>
      <c r="E497" s="848">
        <v>2017</v>
      </c>
      <c r="F497" s="849" t="s">
        <v>2345</v>
      </c>
      <c r="G497" s="693" t="s">
        <v>2346</v>
      </c>
      <c r="H497" s="848" t="s">
        <v>2347</v>
      </c>
      <c r="I497" s="693" t="s">
        <v>2346</v>
      </c>
      <c r="J497" s="847">
        <v>281650639</v>
      </c>
      <c r="K497" s="847">
        <v>873764998</v>
      </c>
      <c r="L497" s="841">
        <v>8009386250</v>
      </c>
      <c r="M497" s="847">
        <v>6383085981</v>
      </c>
      <c r="N497" s="839">
        <f>Indicadores[[#This Row],[Ventas]]/Indicadores[[#This Row],[Activos totales]]</f>
        <v>0.79695070031115056</v>
      </c>
      <c r="O497" s="837">
        <f>IF(Indicadores[[#This Row],[Ventas]]=0,0,Indicadores[[#This Row],[EBITDA]]/Indicadores[[#This Row],[Ventas]])</f>
        <v>0.13688754947072049</v>
      </c>
      <c r="P497" s="837">
        <f>IF(Indicadores[[#This Row],[Ventas]]=0,0,Indicadores[[#This Row],[UAI]]/Indicadores[[#This Row],[Ventas]])</f>
        <v>4.4124525321821761E-2</v>
      </c>
      <c r="Q497" s="837">
        <f>IFERROR(Indicadores[[#This Row],[Ventas]]/Indicadores[[#This Row],[Activos totales]],0)</f>
        <v>0.79695070031115056</v>
      </c>
    </row>
    <row r="498" spans="1:17" x14ac:dyDescent="0.35">
      <c r="A498" s="13" t="str">
        <f>MID(Indicadores[[#This Row],[CIIU]],2,4)</f>
        <v>1200</v>
      </c>
      <c r="B498" s="13" t="str">
        <f>Indicadores[[#This Row],[CIIU]]&amp;Indicadores[[#This Row],[Año]]</f>
        <v>C12002017</v>
      </c>
      <c r="C498" s="14" t="s">
        <v>2279</v>
      </c>
      <c r="D498" s="14" t="s">
        <v>2348</v>
      </c>
      <c r="E498" s="848">
        <v>2017</v>
      </c>
      <c r="F498" s="849" t="s">
        <v>2349</v>
      </c>
      <c r="G498" s="693" t="s">
        <v>2350</v>
      </c>
      <c r="H498" s="848" t="s">
        <v>2351</v>
      </c>
      <c r="I498" s="693" t="s">
        <v>2350</v>
      </c>
      <c r="J498" s="847">
        <v>27821018</v>
      </c>
      <c r="K498" s="847">
        <v>47557982</v>
      </c>
      <c r="L498" s="841">
        <v>610273371</v>
      </c>
      <c r="M498" s="847">
        <v>603139693</v>
      </c>
      <c r="N498" s="839">
        <f>Indicadores[[#This Row],[Ventas]]/Indicadores[[#This Row],[Activos totales]]</f>
        <v>0.98831068445881776</v>
      </c>
      <c r="O498" s="837">
        <f>IF(Indicadores[[#This Row],[Ventas]]=0,0,Indicadores[[#This Row],[EBITDA]]/Indicadores[[#This Row],[Ventas]])</f>
        <v>7.8850691725241839E-2</v>
      </c>
      <c r="P498" s="837">
        <f>IF(Indicadores[[#This Row],[Ventas]]=0,0,Indicadores[[#This Row],[UAI]]/Indicadores[[#This Row],[Ventas]])</f>
        <v>4.612698902574134E-2</v>
      </c>
      <c r="Q498" s="837">
        <f>IFERROR(Indicadores[[#This Row],[Ventas]]/Indicadores[[#This Row],[Activos totales]],0)</f>
        <v>0.98831068445881776</v>
      </c>
    </row>
    <row r="499" spans="1:17" x14ac:dyDescent="0.35">
      <c r="A499" s="13" t="str">
        <f>MID(Indicadores[[#This Row],[CIIU]],2,4)</f>
        <v>1311</v>
      </c>
      <c r="B499" s="13" t="str">
        <f>Indicadores[[#This Row],[CIIU]]&amp;Indicadores[[#This Row],[Año]]</f>
        <v>C13112017</v>
      </c>
      <c r="C499" s="14" t="s">
        <v>2279</v>
      </c>
      <c r="D499" s="14" t="s">
        <v>2352</v>
      </c>
      <c r="E499" s="848">
        <v>2017</v>
      </c>
      <c r="F499" s="849" t="s">
        <v>2353</v>
      </c>
      <c r="G499" s="693" t="s">
        <v>2354</v>
      </c>
      <c r="H499" s="848" t="s">
        <v>2355</v>
      </c>
      <c r="I499" s="693" t="s">
        <v>2354</v>
      </c>
      <c r="J499" s="847">
        <v>35417661</v>
      </c>
      <c r="K499" s="847">
        <v>80183412</v>
      </c>
      <c r="L499" s="841">
        <v>1074083079</v>
      </c>
      <c r="M499" s="847">
        <v>901532457</v>
      </c>
      <c r="N499" s="839">
        <f>Indicadores[[#This Row],[Ventas]]/Indicadores[[#This Row],[Activos totales]]</f>
        <v>0.83935076776309592</v>
      </c>
      <c r="O499" s="837">
        <f>IF(Indicadores[[#This Row],[Ventas]]=0,0,Indicadores[[#This Row],[EBITDA]]/Indicadores[[#This Row],[Ventas]])</f>
        <v>8.8941237087374211E-2</v>
      </c>
      <c r="P499" s="837">
        <f>IF(Indicadores[[#This Row],[Ventas]]=0,0,Indicadores[[#This Row],[UAI]]/Indicadores[[#This Row],[Ventas]])</f>
        <v>3.9286063108430053E-2</v>
      </c>
      <c r="Q499" s="837">
        <f>IFERROR(Indicadores[[#This Row],[Ventas]]/Indicadores[[#This Row],[Activos totales]],0)</f>
        <v>0.83935076776309592</v>
      </c>
    </row>
    <row r="500" spans="1:17" x14ac:dyDescent="0.35">
      <c r="A500" s="13" t="str">
        <f>MID(Indicadores[[#This Row],[CIIU]],2,4)</f>
        <v>1312</v>
      </c>
      <c r="B500" s="13" t="str">
        <f>Indicadores[[#This Row],[CIIU]]&amp;Indicadores[[#This Row],[Año]]</f>
        <v>C13122017</v>
      </c>
      <c r="C500" s="14" t="s">
        <v>2279</v>
      </c>
      <c r="D500" s="14" t="s">
        <v>2352</v>
      </c>
      <c r="E500" s="848">
        <v>2017</v>
      </c>
      <c r="F500" s="849" t="s">
        <v>2356</v>
      </c>
      <c r="G500" s="693" t="s">
        <v>2357</v>
      </c>
      <c r="H500" s="848" t="s">
        <v>2358</v>
      </c>
      <c r="I500" s="693" t="s">
        <v>2357</v>
      </c>
      <c r="J500" s="847">
        <v>-20834377</v>
      </c>
      <c r="K500" s="847">
        <v>84893784</v>
      </c>
      <c r="L500" s="841">
        <v>2206059385</v>
      </c>
      <c r="M500" s="847">
        <v>1458570803</v>
      </c>
      <c r="N500" s="839">
        <f>Indicadores[[#This Row],[Ventas]]/Indicadores[[#This Row],[Activos totales]]</f>
        <v>0.66116570248175799</v>
      </c>
      <c r="O500" s="837">
        <f>IF(Indicadores[[#This Row],[Ventas]]=0,0,Indicadores[[#This Row],[EBITDA]]/Indicadores[[#This Row],[Ventas]])</f>
        <v>5.8203402827884526E-2</v>
      </c>
      <c r="P500" s="837">
        <f>IF(Indicadores[[#This Row],[Ventas]]=0,0,Indicadores[[#This Row],[UAI]]/Indicadores[[#This Row],[Ventas]])</f>
        <v>-1.4284103971605415E-2</v>
      </c>
      <c r="Q500" s="837">
        <f>IFERROR(Indicadores[[#This Row],[Ventas]]/Indicadores[[#This Row],[Activos totales]],0)</f>
        <v>0.66116570248175799</v>
      </c>
    </row>
    <row r="501" spans="1:17" x14ac:dyDescent="0.35">
      <c r="A501" s="13" t="str">
        <f>MID(Indicadores[[#This Row],[CIIU]],2,4)</f>
        <v>1313</v>
      </c>
      <c r="B501" s="13" t="str">
        <f>Indicadores[[#This Row],[CIIU]]&amp;Indicadores[[#This Row],[Año]]</f>
        <v>C13132017</v>
      </c>
      <c r="C501" s="14" t="s">
        <v>2279</v>
      </c>
      <c r="D501" s="14" t="s">
        <v>2352</v>
      </c>
      <c r="E501" s="848">
        <v>2017</v>
      </c>
      <c r="F501" s="849" t="s">
        <v>2359</v>
      </c>
      <c r="G501" s="693" t="s">
        <v>2360</v>
      </c>
      <c r="H501" s="848" t="s">
        <v>2361</v>
      </c>
      <c r="I501" s="693" t="s">
        <v>2360</v>
      </c>
      <c r="J501" s="847">
        <v>18189449</v>
      </c>
      <c r="K501" s="847">
        <v>39104008</v>
      </c>
      <c r="L501" s="841">
        <v>365236024</v>
      </c>
      <c r="M501" s="847">
        <v>354831033</v>
      </c>
      <c r="N501" s="839">
        <f>Indicadores[[#This Row],[Ventas]]/Indicadores[[#This Row],[Activos totales]]</f>
        <v>0.97151159711452784</v>
      </c>
      <c r="O501" s="837">
        <f>IF(Indicadores[[#This Row],[Ventas]]=0,0,Indicadores[[#This Row],[EBITDA]]/Indicadores[[#This Row],[Ventas]])</f>
        <v>0.11020458855976106</v>
      </c>
      <c r="P501" s="837">
        <f>IF(Indicadores[[#This Row],[Ventas]]=0,0,Indicadores[[#This Row],[UAI]]/Indicadores[[#This Row],[Ventas]])</f>
        <v>5.1262283476766812E-2</v>
      </c>
      <c r="Q501" s="837">
        <f>IFERROR(Indicadores[[#This Row],[Ventas]]/Indicadores[[#This Row],[Activos totales]],0)</f>
        <v>0.97151159711452784</v>
      </c>
    </row>
    <row r="502" spans="1:17" x14ac:dyDescent="0.35">
      <c r="A502" s="13" t="str">
        <f>MID(Indicadores[[#This Row],[CIIU]],2,4)</f>
        <v>1392</v>
      </c>
      <c r="B502" s="13" t="str">
        <f>Indicadores[[#This Row],[CIIU]]&amp;Indicadores[[#This Row],[Año]]</f>
        <v>C13922017</v>
      </c>
      <c r="C502" s="14" t="s">
        <v>2279</v>
      </c>
      <c r="D502" s="14" t="s">
        <v>2352</v>
      </c>
      <c r="E502" s="848">
        <v>2017</v>
      </c>
      <c r="F502" s="849" t="s">
        <v>2365</v>
      </c>
      <c r="G502" s="693" t="s">
        <v>2366</v>
      </c>
      <c r="H502" s="848" t="s">
        <v>2367</v>
      </c>
      <c r="I502" s="693" t="s">
        <v>2366</v>
      </c>
      <c r="J502" s="847">
        <v>6473169</v>
      </c>
      <c r="K502" s="847">
        <v>30365531</v>
      </c>
      <c r="L502" s="841">
        <v>637947362</v>
      </c>
      <c r="M502" s="847">
        <v>711898006</v>
      </c>
      <c r="N502" s="839">
        <f>Indicadores[[#This Row],[Ventas]]/Indicadores[[#This Row],[Activos totales]]</f>
        <v>1.1159196642308555</v>
      </c>
      <c r="O502" s="837">
        <f>IF(Indicadores[[#This Row],[Ventas]]=0,0,Indicadores[[#This Row],[EBITDA]]/Indicadores[[#This Row],[Ventas]])</f>
        <v>4.2654327929105056E-2</v>
      </c>
      <c r="P502" s="837">
        <f>IF(Indicadores[[#This Row],[Ventas]]=0,0,Indicadores[[#This Row],[UAI]]/Indicadores[[#This Row],[Ventas]])</f>
        <v>9.0928320425721215E-3</v>
      </c>
      <c r="Q502" s="837">
        <f>IFERROR(Indicadores[[#This Row],[Ventas]]/Indicadores[[#This Row],[Activos totales]],0)</f>
        <v>1.1159196642308555</v>
      </c>
    </row>
    <row r="503" spans="1:17" x14ac:dyDescent="0.35">
      <c r="A503" s="13" t="str">
        <f>MID(Indicadores[[#This Row],[CIIU]],2,4)</f>
        <v>1393</v>
      </c>
      <c r="B503" s="13" t="str">
        <f>Indicadores[[#This Row],[CIIU]]&amp;Indicadores[[#This Row],[Año]]</f>
        <v>C13932017</v>
      </c>
      <c r="C503" s="14" t="s">
        <v>2279</v>
      </c>
      <c r="D503" s="14" t="s">
        <v>2352</v>
      </c>
      <c r="E503" s="848">
        <v>2017</v>
      </c>
      <c r="F503" s="849" t="s">
        <v>2368</v>
      </c>
      <c r="G503" s="693" t="s">
        <v>2369</v>
      </c>
      <c r="H503" s="848" t="s">
        <v>2370</v>
      </c>
      <c r="I503" s="693" t="s">
        <v>2369</v>
      </c>
      <c r="J503" s="847">
        <v>175051</v>
      </c>
      <c r="K503" s="847">
        <v>1657008</v>
      </c>
      <c r="L503" s="841">
        <v>39538992</v>
      </c>
      <c r="M503" s="847">
        <v>29331951</v>
      </c>
      <c r="N503" s="839">
        <f>Indicadores[[#This Row],[Ventas]]/Indicadores[[#This Row],[Activos totales]]</f>
        <v>0.74184872998279772</v>
      </c>
      <c r="O503" s="837">
        <f>IF(Indicadores[[#This Row],[Ventas]]=0,0,Indicadores[[#This Row],[EBITDA]]/Indicadores[[#This Row],[Ventas]])</f>
        <v>5.6491571256204541E-2</v>
      </c>
      <c r="P503" s="837">
        <f>IF(Indicadores[[#This Row],[Ventas]]=0,0,Indicadores[[#This Row],[UAI]]/Indicadores[[#This Row],[Ventas]])</f>
        <v>5.9679289659252469E-3</v>
      </c>
      <c r="Q503" s="837">
        <f>IFERROR(Indicadores[[#This Row],[Ventas]]/Indicadores[[#This Row],[Activos totales]],0)</f>
        <v>0.74184872998279772</v>
      </c>
    </row>
    <row r="504" spans="1:17" x14ac:dyDescent="0.35">
      <c r="A504" s="13" t="str">
        <f>MID(Indicadores[[#This Row],[CIIU]],2,4)</f>
        <v>1394</v>
      </c>
      <c r="B504" s="13" t="str">
        <f>Indicadores[[#This Row],[CIIU]]&amp;Indicadores[[#This Row],[Año]]</f>
        <v>C13942017</v>
      </c>
      <c r="C504" s="14" t="s">
        <v>2279</v>
      </c>
      <c r="D504" s="14" t="s">
        <v>2352</v>
      </c>
      <c r="E504" s="848">
        <v>2017</v>
      </c>
      <c r="F504" s="849" t="s">
        <v>2371</v>
      </c>
      <c r="G504" s="693" t="s">
        <v>2372</v>
      </c>
      <c r="H504" s="848" t="s">
        <v>2373</v>
      </c>
      <c r="I504" s="693" t="s">
        <v>2372</v>
      </c>
      <c r="J504" s="847">
        <v>2076622</v>
      </c>
      <c r="K504" s="847">
        <v>2554556</v>
      </c>
      <c r="L504" s="841">
        <v>26379417</v>
      </c>
      <c r="M504" s="847">
        <v>28720726</v>
      </c>
      <c r="N504" s="839">
        <f>Indicadores[[#This Row],[Ventas]]/Indicadores[[#This Row],[Activos totales]]</f>
        <v>1.0887551457259272</v>
      </c>
      <c r="O504" s="837">
        <f>IF(Indicadores[[#This Row],[Ventas]]=0,0,Indicadores[[#This Row],[EBITDA]]/Indicadores[[#This Row],[Ventas]])</f>
        <v>8.8944687540280148E-2</v>
      </c>
      <c r="P504" s="837">
        <f>IF(Indicadores[[#This Row],[Ventas]]=0,0,Indicadores[[#This Row],[UAI]]/Indicadores[[#This Row],[Ventas]])</f>
        <v>7.2303952205107908E-2</v>
      </c>
      <c r="Q504" s="837">
        <f>IFERROR(Indicadores[[#This Row],[Ventas]]/Indicadores[[#This Row],[Activos totales]],0)</f>
        <v>1.0887551457259272</v>
      </c>
    </row>
    <row r="505" spans="1:17" x14ac:dyDescent="0.35">
      <c r="A505" s="13" t="str">
        <f>MID(Indicadores[[#This Row],[CIIU]],2,4)</f>
        <v>1399</v>
      </c>
      <c r="B505" s="13" t="str">
        <f>Indicadores[[#This Row],[CIIU]]&amp;Indicadores[[#This Row],[Año]]</f>
        <v>C13992017</v>
      </c>
      <c r="C505" s="14" t="s">
        <v>2279</v>
      </c>
      <c r="D505" s="14" t="s">
        <v>2352</v>
      </c>
      <c r="E505" s="848">
        <v>2017</v>
      </c>
      <c r="F505" s="849" t="s">
        <v>2374</v>
      </c>
      <c r="G505" s="693" t="s">
        <v>2375</v>
      </c>
      <c r="H505" s="848" t="s">
        <v>2376</v>
      </c>
      <c r="I505" s="693" t="s">
        <v>2375</v>
      </c>
      <c r="J505" s="847">
        <v>74600418</v>
      </c>
      <c r="K505" s="847">
        <v>109812945</v>
      </c>
      <c r="L505" s="841">
        <v>745997425</v>
      </c>
      <c r="M505" s="847">
        <v>606655073</v>
      </c>
      <c r="N505" s="839">
        <f>Indicadores[[#This Row],[Ventas]]/Indicadores[[#This Row],[Activos totales]]</f>
        <v>0.81321336062252492</v>
      </c>
      <c r="O505" s="837">
        <f>IF(Indicadores[[#This Row],[Ventas]]=0,0,Indicadores[[#This Row],[EBITDA]]/Indicadores[[#This Row],[Ventas]])</f>
        <v>0.18101380815453924</v>
      </c>
      <c r="P505" s="837">
        <f>IF(Indicadores[[#This Row],[Ventas]]=0,0,Indicadores[[#This Row],[UAI]]/Indicadores[[#This Row],[Ventas]])</f>
        <v>0.12297007199015049</v>
      </c>
      <c r="Q505" s="837">
        <f>IFERROR(Indicadores[[#This Row],[Ventas]]/Indicadores[[#This Row],[Activos totales]],0)</f>
        <v>0.81321336062252492</v>
      </c>
    </row>
    <row r="506" spans="1:17" x14ac:dyDescent="0.35">
      <c r="A506" s="13" t="str">
        <f>MID(Indicadores[[#This Row],[CIIU]],2,4)</f>
        <v>1410</v>
      </c>
      <c r="B506" s="13" t="str">
        <f>Indicadores[[#This Row],[CIIU]]&amp;Indicadores[[#This Row],[Año]]</f>
        <v>C14102017</v>
      </c>
      <c r="C506" s="14" t="s">
        <v>2279</v>
      </c>
      <c r="D506" s="14" t="s">
        <v>2377</v>
      </c>
      <c r="E506" s="848">
        <v>2017</v>
      </c>
      <c r="F506" s="849" t="s">
        <v>2378</v>
      </c>
      <c r="G506" s="693" t="s">
        <v>2379</v>
      </c>
      <c r="H506" s="848" t="s">
        <v>2380</v>
      </c>
      <c r="I506" s="693" t="s">
        <v>2379</v>
      </c>
      <c r="J506" s="847">
        <v>224994368</v>
      </c>
      <c r="K506" s="847">
        <v>603566137</v>
      </c>
      <c r="L506" s="841">
        <v>6590735830</v>
      </c>
      <c r="M506" s="847">
        <v>7297996691</v>
      </c>
      <c r="N506" s="839">
        <f>Indicadores[[#This Row],[Ventas]]/Indicadores[[#This Row],[Activos totales]]</f>
        <v>1.1073113654139586</v>
      </c>
      <c r="O506" s="837">
        <f>IF(Indicadores[[#This Row],[Ventas]]=0,0,Indicadores[[#This Row],[EBITDA]]/Indicadores[[#This Row],[Ventas]])</f>
        <v>8.2702988581007011E-2</v>
      </c>
      <c r="P506" s="837">
        <f>IF(Indicadores[[#This Row],[Ventas]]=0,0,Indicadores[[#This Row],[UAI]]/Indicadores[[#This Row],[Ventas]])</f>
        <v>3.0829606743651511E-2</v>
      </c>
      <c r="Q506" s="837">
        <f>IFERROR(Indicadores[[#This Row],[Ventas]]/Indicadores[[#This Row],[Activos totales]],0)</f>
        <v>1.1073113654139586</v>
      </c>
    </row>
    <row r="507" spans="1:17" x14ac:dyDescent="0.35">
      <c r="A507" s="13" t="str">
        <f>MID(Indicadores[[#This Row],[CIIU]],2,4)</f>
        <v>1420</v>
      </c>
      <c r="B507" s="13" t="str">
        <f>Indicadores[[#This Row],[CIIU]]&amp;Indicadores[[#This Row],[Año]]</f>
        <v>C14202017</v>
      </c>
      <c r="C507" s="14" t="s">
        <v>2279</v>
      </c>
      <c r="D507" s="14" t="s">
        <v>2377</v>
      </c>
      <c r="E507" s="848">
        <v>2017</v>
      </c>
      <c r="F507" s="849" t="s">
        <v>2381</v>
      </c>
      <c r="G507" s="693" t="s">
        <v>2382</v>
      </c>
      <c r="H507" s="848" t="s">
        <v>2383</v>
      </c>
      <c r="I507" s="693" t="s">
        <v>2382</v>
      </c>
      <c r="J507" s="847">
        <v>3694181</v>
      </c>
      <c r="K507" s="847">
        <v>4933163</v>
      </c>
      <c r="L507" s="841">
        <v>26812284</v>
      </c>
      <c r="M507" s="847">
        <v>40049346</v>
      </c>
      <c r="N507" s="839">
        <f>Indicadores[[#This Row],[Ventas]]/Indicadores[[#This Row],[Activos totales]]</f>
        <v>1.4936939352126808</v>
      </c>
      <c r="O507" s="837">
        <f>IF(Indicadores[[#This Row],[Ventas]]=0,0,Indicadores[[#This Row],[EBITDA]]/Indicadores[[#This Row],[Ventas]])</f>
        <v>0.12317711754893576</v>
      </c>
      <c r="P507" s="837">
        <f>IF(Indicadores[[#This Row],[Ventas]]=0,0,Indicadores[[#This Row],[UAI]]/Indicadores[[#This Row],[Ventas]])</f>
        <v>9.224073222069594E-2</v>
      </c>
      <c r="Q507" s="837">
        <f>IFERROR(Indicadores[[#This Row],[Ventas]]/Indicadores[[#This Row],[Activos totales]],0)</f>
        <v>1.4936939352126808</v>
      </c>
    </row>
    <row r="508" spans="1:17" x14ac:dyDescent="0.35">
      <c r="A508" s="13" t="str">
        <f>MID(Indicadores[[#This Row],[CIIU]],2,4)</f>
        <v>1430</v>
      </c>
      <c r="B508" s="13" t="str">
        <f>Indicadores[[#This Row],[CIIU]]&amp;Indicadores[[#This Row],[Año]]</f>
        <v>C14302017</v>
      </c>
      <c r="C508" s="14" t="s">
        <v>2279</v>
      </c>
      <c r="D508" s="14" t="s">
        <v>2377</v>
      </c>
      <c r="E508" s="848">
        <v>2017</v>
      </c>
      <c r="F508" s="849" t="s">
        <v>2384</v>
      </c>
      <c r="G508" s="693" t="s">
        <v>2385</v>
      </c>
      <c r="H508" s="848" t="s">
        <v>2386</v>
      </c>
      <c r="I508" s="693" t="s">
        <v>2385</v>
      </c>
      <c r="J508" s="847">
        <v>-1071948</v>
      </c>
      <c r="K508" s="847">
        <v>-295030</v>
      </c>
      <c r="L508" s="841">
        <v>58232959</v>
      </c>
      <c r="M508" s="847">
        <v>27718799</v>
      </c>
      <c r="N508" s="839">
        <f>Indicadores[[#This Row],[Ventas]]/Indicadores[[#This Row],[Activos totales]]</f>
        <v>0.47599846334444385</v>
      </c>
      <c r="O508" s="837">
        <f>IF(Indicadores[[#This Row],[Ventas]]=0,0,Indicadores[[#This Row],[EBITDA]]/Indicadores[[#This Row],[Ventas]])</f>
        <v>-1.0643679042515515E-2</v>
      </c>
      <c r="P508" s="837">
        <f>IF(Indicadores[[#This Row],[Ventas]]=0,0,Indicadores[[#This Row],[UAI]]/Indicadores[[#This Row],[Ventas]])</f>
        <v>-3.8672238288534798E-2</v>
      </c>
      <c r="Q508" s="837">
        <f>IFERROR(Indicadores[[#This Row],[Ventas]]/Indicadores[[#This Row],[Activos totales]],0)</f>
        <v>0.47599846334444385</v>
      </c>
    </row>
    <row r="509" spans="1:17" x14ac:dyDescent="0.35">
      <c r="A509" s="13" t="str">
        <f>MID(Indicadores[[#This Row],[CIIU]],2,4)</f>
        <v>1511</v>
      </c>
      <c r="B509" s="13" t="str">
        <f>Indicadores[[#This Row],[CIIU]]&amp;Indicadores[[#This Row],[Año]]</f>
        <v>C15112017</v>
      </c>
      <c r="C509" s="14" t="s">
        <v>2279</v>
      </c>
      <c r="D509" s="14" t="s">
        <v>2387</v>
      </c>
      <c r="E509" s="848">
        <v>2017</v>
      </c>
      <c r="F509" s="849" t="s">
        <v>2388</v>
      </c>
      <c r="G509" s="693" t="s">
        <v>2389</v>
      </c>
      <c r="H509" s="848" t="s">
        <v>2390</v>
      </c>
      <c r="I509" s="693" t="s">
        <v>2389</v>
      </c>
      <c r="J509" s="847">
        <v>-9861890</v>
      </c>
      <c r="K509" s="847">
        <v>5126896</v>
      </c>
      <c r="L509" s="841">
        <v>500198308</v>
      </c>
      <c r="M509" s="847">
        <v>351586624</v>
      </c>
      <c r="N509" s="839">
        <f>Indicadores[[#This Row],[Ventas]]/Indicadores[[#This Row],[Activos totales]]</f>
        <v>0.70289446880735951</v>
      </c>
      <c r="O509" s="837">
        <f>IF(Indicadores[[#This Row],[Ventas]]=0,0,Indicadores[[#This Row],[EBITDA]]/Indicadores[[#This Row],[Ventas]])</f>
        <v>1.4582170224996955E-2</v>
      </c>
      <c r="P509" s="837">
        <f>IF(Indicadores[[#This Row],[Ventas]]=0,0,Indicadores[[#This Row],[UAI]]/Indicadores[[#This Row],[Ventas]])</f>
        <v>-2.8049673471081768E-2</v>
      </c>
      <c r="Q509" s="837">
        <f>IFERROR(Indicadores[[#This Row],[Ventas]]/Indicadores[[#This Row],[Activos totales]],0)</f>
        <v>0.70289446880735951</v>
      </c>
    </row>
    <row r="510" spans="1:17" x14ac:dyDescent="0.35">
      <c r="A510" s="13" t="str">
        <f>MID(Indicadores[[#This Row],[CIIU]],2,4)</f>
        <v>1512</v>
      </c>
      <c r="B510" s="13" t="str">
        <f>Indicadores[[#This Row],[CIIU]]&amp;Indicadores[[#This Row],[Año]]</f>
        <v>C15122017</v>
      </c>
      <c r="C510" s="14" t="s">
        <v>2279</v>
      </c>
      <c r="D510" s="14" t="s">
        <v>2387</v>
      </c>
      <c r="E510" s="848">
        <v>2017</v>
      </c>
      <c r="F510" s="849" t="s">
        <v>2391</v>
      </c>
      <c r="G510" s="693" t="s">
        <v>2392</v>
      </c>
      <c r="H510" s="848" t="s">
        <v>2393</v>
      </c>
      <c r="I510" s="693" t="s">
        <v>2392</v>
      </c>
      <c r="J510" s="847">
        <v>-12223029</v>
      </c>
      <c r="K510" s="847">
        <v>-6352224</v>
      </c>
      <c r="L510" s="841">
        <v>177920365</v>
      </c>
      <c r="M510" s="847">
        <v>139904363</v>
      </c>
      <c r="N510" s="839">
        <f>Indicadores[[#This Row],[Ventas]]/Indicadores[[#This Row],[Activos totales]]</f>
        <v>0.78633136234854284</v>
      </c>
      <c r="O510" s="837">
        <f>IF(Indicadores[[#This Row],[Ventas]]=0,0,Indicadores[[#This Row],[EBITDA]]/Indicadores[[#This Row],[Ventas]])</f>
        <v>-4.5404045047544368E-2</v>
      </c>
      <c r="P510" s="837">
        <f>IF(Indicadores[[#This Row],[Ventas]]=0,0,Indicadores[[#This Row],[UAI]]/Indicadores[[#This Row],[Ventas]])</f>
        <v>-8.73670322919093E-2</v>
      </c>
      <c r="Q510" s="837">
        <f>IFERROR(Indicadores[[#This Row],[Ventas]]/Indicadores[[#This Row],[Activos totales]],0)</f>
        <v>0.78633136234854284</v>
      </c>
    </row>
    <row r="511" spans="1:17" x14ac:dyDescent="0.35">
      <c r="A511" s="13" t="str">
        <f>MID(Indicadores[[#This Row],[CIIU]],2,4)</f>
        <v>1513</v>
      </c>
      <c r="B511" s="13" t="str">
        <f>Indicadores[[#This Row],[CIIU]]&amp;Indicadores[[#This Row],[Año]]</f>
        <v>C15132017</v>
      </c>
      <c r="C511" s="14" t="s">
        <v>2279</v>
      </c>
      <c r="D511" s="14" t="s">
        <v>2387</v>
      </c>
      <c r="E511" s="848">
        <v>2017</v>
      </c>
      <c r="F511" s="849" t="s">
        <v>2394</v>
      </c>
      <c r="G511" s="693" t="s">
        <v>2395</v>
      </c>
      <c r="H511" s="848" t="s">
        <v>2396</v>
      </c>
      <c r="I511" s="693" t="s">
        <v>2395</v>
      </c>
      <c r="J511" s="847">
        <v>44876571</v>
      </c>
      <c r="K511" s="847">
        <v>70679937</v>
      </c>
      <c r="L511" s="841">
        <v>420461336</v>
      </c>
      <c r="M511" s="847">
        <v>483729599</v>
      </c>
      <c r="N511" s="839">
        <f>Indicadores[[#This Row],[Ventas]]/Indicadores[[#This Row],[Activos totales]]</f>
        <v>1.150473438537521</v>
      </c>
      <c r="O511" s="837">
        <f>IF(Indicadores[[#This Row],[Ventas]]=0,0,Indicadores[[#This Row],[EBITDA]]/Indicadores[[#This Row],[Ventas]])</f>
        <v>0.14611455893150752</v>
      </c>
      <c r="P511" s="837">
        <f>IF(Indicadores[[#This Row],[Ventas]]=0,0,Indicadores[[#This Row],[UAI]]/Indicadores[[#This Row],[Ventas]])</f>
        <v>9.277201786446812E-2</v>
      </c>
      <c r="Q511" s="837">
        <f>IFERROR(Indicadores[[#This Row],[Ventas]]/Indicadores[[#This Row],[Activos totales]],0)</f>
        <v>1.150473438537521</v>
      </c>
    </row>
    <row r="512" spans="1:17" x14ac:dyDescent="0.35">
      <c r="A512" s="13" t="str">
        <f>MID(Indicadores[[#This Row],[CIIU]],2,4)</f>
        <v>1521</v>
      </c>
      <c r="B512" s="13" t="str">
        <f>Indicadores[[#This Row],[CIIU]]&amp;Indicadores[[#This Row],[Año]]</f>
        <v>C15212017</v>
      </c>
      <c r="C512" s="14" t="s">
        <v>2279</v>
      </c>
      <c r="D512" s="14" t="s">
        <v>2387</v>
      </c>
      <c r="E512" s="848">
        <v>2017</v>
      </c>
      <c r="F512" s="849" t="s">
        <v>2397</v>
      </c>
      <c r="G512" s="693" t="s">
        <v>2398</v>
      </c>
      <c r="H512" s="848" t="s">
        <v>2399</v>
      </c>
      <c r="I512" s="693" t="s">
        <v>2398</v>
      </c>
      <c r="J512" s="847">
        <v>22993079</v>
      </c>
      <c r="K512" s="847">
        <v>76782118</v>
      </c>
      <c r="L512" s="841">
        <v>830102256</v>
      </c>
      <c r="M512" s="847">
        <v>753686345</v>
      </c>
      <c r="N512" s="839">
        <f>Indicadores[[#This Row],[Ventas]]/Indicadores[[#This Row],[Activos totales]]</f>
        <v>0.90794397865122778</v>
      </c>
      <c r="O512" s="837">
        <f>IF(Indicadores[[#This Row],[Ventas]]=0,0,Indicadores[[#This Row],[EBITDA]]/Indicadores[[#This Row],[Ventas]])</f>
        <v>0.10187542670684846</v>
      </c>
      <c r="P512" s="837">
        <f>IF(Indicadores[[#This Row],[Ventas]]=0,0,Indicadores[[#This Row],[UAI]]/Indicadores[[#This Row],[Ventas]])</f>
        <v>3.050749048664269E-2</v>
      </c>
      <c r="Q512" s="837">
        <f>IFERROR(Indicadores[[#This Row],[Ventas]]/Indicadores[[#This Row],[Activos totales]],0)</f>
        <v>0.90794397865122778</v>
      </c>
    </row>
    <row r="513" spans="1:17" x14ac:dyDescent="0.35">
      <c r="A513" s="13" t="str">
        <f>MID(Indicadores[[#This Row],[CIIU]],2,4)</f>
        <v>1522</v>
      </c>
      <c r="B513" s="13" t="str">
        <f>Indicadores[[#This Row],[CIIU]]&amp;Indicadores[[#This Row],[Año]]</f>
        <v>C15222017</v>
      </c>
      <c r="C513" s="14" t="s">
        <v>2279</v>
      </c>
      <c r="D513" s="14" t="s">
        <v>2387</v>
      </c>
      <c r="E513" s="848">
        <v>2017</v>
      </c>
      <c r="F513" s="849" t="s">
        <v>2400</v>
      </c>
      <c r="G513" s="693" t="s">
        <v>2401</v>
      </c>
      <c r="H513" s="848" t="s">
        <v>2402</v>
      </c>
      <c r="I513" s="693" t="s">
        <v>2401</v>
      </c>
      <c r="J513" s="847">
        <v>35963767</v>
      </c>
      <c r="K513" s="847">
        <v>54730944</v>
      </c>
      <c r="L513" s="841">
        <v>362613926</v>
      </c>
      <c r="M513" s="847">
        <v>593178011</v>
      </c>
      <c r="N513" s="839">
        <f>Indicadores[[#This Row],[Ventas]]/Indicadores[[#This Row],[Activos totales]]</f>
        <v>1.6358390245607941</v>
      </c>
      <c r="O513" s="837">
        <f>IF(Indicadores[[#This Row],[Ventas]]=0,0,Indicadores[[#This Row],[EBITDA]]/Indicadores[[#This Row],[Ventas]])</f>
        <v>9.2267317710804347E-2</v>
      </c>
      <c r="P513" s="837">
        <f>IF(Indicadores[[#This Row],[Ventas]]=0,0,Indicadores[[#This Row],[UAI]]/Indicadores[[#This Row],[Ventas]])</f>
        <v>6.0628961851385957E-2</v>
      </c>
      <c r="Q513" s="837">
        <f>IFERROR(Indicadores[[#This Row],[Ventas]]/Indicadores[[#This Row],[Activos totales]],0)</f>
        <v>1.6358390245607941</v>
      </c>
    </row>
    <row r="514" spans="1:17" x14ac:dyDescent="0.35">
      <c r="A514" s="13" t="str">
        <f>MID(Indicadores[[#This Row],[CIIU]],2,4)</f>
        <v>1523</v>
      </c>
      <c r="B514" s="13" t="str">
        <f>Indicadores[[#This Row],[CIIU]]&amp;Indicadores[[#This Row],[Año]]</f>
        <v>C15232017</v>
      </c>
      <c r="C514" s="14" t="s">
        <v>2279</v>
      </c>
      <c r="D514" s="14" t="s">
        <v>2387</v>
      </c>
      <c r="E514" s="848">
        <v>2017</v>
      </c>
      <c r="F514" s="849" t="s">
        <v>2403</v>
      </c>
      <c r="G514" s="693" t="s">
        <v>2404</v>
      </c>
      <c r="H514" s="848" t="s">
        <v>2405</v>
      </c>
      <c r="I514" s="693" t="s">
        <v>2404</v>
      </c>
      <c r="J514" s="847">
        <v>-106739</v>
      </c>
      <c r="K514" s="847">
        <v>1732757</v>
      </c>
      <c r="L514" s="841">
        <v>52307769</v>
      </c>
      <c r="M514" s="847">
        <v>56751373</v>
      </c>
      <c r="N514" s="839">
        <f>Indicadores[[#This Row],[Ventas]]/Indicadores[[#This Row],[Activos totales]]</f>
        <v>1.0849511283878308</v>
      </c>
      <c r="O514" s="837">
        <f>IF(Indicadores[[#This Row],[Ventas]]=0,0,Indicadores[[#This Row],[EBITDA]]/Indicadores[[#This Row],[Ventas]])</f>
        <v>3.0532424299232374E-2</v>
      </c>
      <c r="P514" s="837">
        <f>IF(Indicadores[[#This Row],[Ventas]]=0,0,Indicadores[[#This Row],[UAI]]/Indicadores[[#This Row],[Ventas]])</f>
        <v>-1.8808179319291535E-3</v>
      </c>
      <c r="Q514" s="837">
        <f>IFERROR(Indicadores[[#This Row],[Ventas]]/Indicadores[[#This Row],[Activos totales]],0)</f>
        <v>1.0849511283878308</v>
      </c>
    </row>
    <row r="515" spans="1:17" x14ac:dyDescent="0.35">
      <c r="A515" s="13" t="str">
        <f>MID(Indicadores[[#This Row],[CIIU]],2,4)</f>
        <v>1610</v>
      </c>
      <c r="B515" s="13" t="str">
        <f>Indicadores[[#This Row],[CIIU]]&amp;Indicadores[[#This Row],[Año]]</f>
        <v>C16102017</v>
      </c>
      <c r="C515" s="14" t="s">
        <v>2279</v>
      </c>
      <c r="D515" s="14" t="s">
        <v>2406</v>
      </c>
      <c r="E515" s="848">
        <v>2017</v>
      </c>
      <c r="F515" s="849" t="s">
        <v>2407</v>
      </c>
      <c r="G515" s="693" t="s">
        <v>2408</v>
      </c>
      <c r="H515" s="848" t="s">
        <v>2409</v>
      </c>
      <c r="I515" s="693" t="s">
        <v>2408</v>
      </c>
      <c r="J515" s="847">
        <v>2116262</v>
      </c>
      <c r="K515" s="847">
        <v>5396701</v>
      </c>
      <c r="L515" s="841">
        <v>166710540</v>
      </c>
      <c r="M515" s="847">
        <v>73563926</v>
      </c>
      <c r="N515" s="839">
        <f>Indicadores[[#This Row],[Ventas]]/Indicadores[[#This Row],[Activos totales]]</f>
        <v>0.44126739677047416</v>
      </c>
      <c r="O515" s="837">
        <f>IF(Indicadores[[#This Row],[Ventas]]=0,0,Indicadores[[#This Row],[EBITDA]]/Indicadores[[#This Row],[Ventas]])</f>
        <v>7.3360698557605533E-2</v>
      </c>
      <c r="P515" s="837">
        <f>IF(Indicadores[[#This Row],[Ventas]]=0,0,Indicadores[[#This Row],[UAI]]/Indicadores[[#This Row],[Ventas]])</f>
        <v>2.8767659844581975E-2</v>
      </c>
      <c r="Q515" s="837">
        <f>IFERROR(Indicadores[[#This Row],[Ventas]]/Indicadores[[#This Row],[Activos totales]],0)</f>
        <v>0.44126739677047416</v>
      </c>
    </row>
    <row r="516" spans="1:17" x14ac:dyDescent="0.35">
      <c r="A516" s="13" t="str">
        <f>MID(Indicadores[[#This Row],[CIIU]],2,4)</f>
        <v>1620</v>
      </c>
      <c r="B516" s="13" t="str">
        <f>Indicadores[[#This Row],[CIIU]]&amp;Indicadores[[#This Row],[Año]]</f>
        <v>C16202017</v>
      </c>
      <c r="C516" s="14" t="s">
        <v>2279</v>
      </c>
      <c r="D516" s="14" t="s">
        <v>2406</v>
      </c>
      <c r="E516" s="848">
        <v>2017</v>
      </c>
      <c r="F516" s="849" t="s">
        <v>2410</v>
      </c>
      <c r="G516" s="693" t="s">
        <v>2411</v>
      </c>
      <c r="H516" s="848" t="s">
        <v>2412</v>
      </c>
      <c r="I516" s="693" t="s">
        <v>2411</v>
      </c>
      <c r="J516" s="847">
        <v>-1554745</v>
      </c>
      <c r="K516" s="847">
        <v>16804436</v>
      </c>
      <c r="L516" s="841">
        <v>523470452</v>
      </c>
      <c r="M516" s="847">
        <v>262501708</v>
      </c>
      <c r="N516" s="839">
        <f>Indicadores[[#This Row],[Ventas]]/Indicadores[[#This Row],[Activos totales]]</f>
        <v>0.50146423164301168</v>
      </c>
      <c r="O516" s="837">
        <f>IF(Indicadores[[#This Row],[Ventas]]=0,0,Indicadores[[#This Row],[EBITDA]]/Indicadores[[#This Row],[Ventas]])</f>
        <v>6.401648251370616E-2</v>
      </c>
      <c r="P516" s="837">
        <f>IF(Indicadores[[#This Row],[Ventas]]=0,0,Indicadores[[#This Row],[UAI]]/Indicadores[[#This Row],[Ventas]])</f>
        <v>-5.9227995575556408E-3</v>
      </c>
      <c r="Q516" s="837">
        <f>IFERROR(Indicadores[[#This Row],[Ventas]]/Indicadores[[#This Row],[Activos totales]],0)</f>
        <v>0.50146423164301168</v>
      </c>
    </row>
    <row r="517" spans="1:17" x14ac:dyDescent="0.35">
      <c r="A517" s="13" t="str">
        <f>MID(Indicadores[[#This Row],[CIIU]],2,4)</f>
        <v>1630</v>
      </c>
      <c r="B517" s="13" t="str">
        <f>Indicadores[[#This Row],[CIIU]]&amp;Indicadores[[#This Row],[Año]]</f>
        <v>C16302017</v>
      </c>
      <c r="C517" s="14" t="s">
        <v>2279</v>
      </c>
      <c r="D517" s="14" t="s">
        <v>2406</v>
      </c>
      <c r="E517" s="848">
        <v>2017</v>
      </c>
      <c r="F517" s="849" t="s">
        <v>2413</v>
      </c>
      <c r="G517" s="693" t="s">
        <v>2414</v>
      </c>
      <c r="H517" s="848" t="s">
        <v>2415</v>
      </c>
      <c r="I517" s="693" t="s">
        <v>2414</v>
      </c>
      <c r="J517" s="847">
        <v>-70014776</v>
      </c>
      <c r="K517" s="847">
        <v>-46780357</v>
      </c>
      <c r="L517" s="841">
        <v>339651013</v>
      </c>
      <c r="M517" s="847">
        <v>238276559</v>
      </c>
      <c r="N517" s="839">
        <f>Indicadores[[#This Row],[Ventas]]/Indicadores[[#This Row],[Activos totales]]</f>
        <v>0.70153348548970762</v>
      </c>
      <c r="O517" s="837">
        <f>IF(Indicadores[[#This Row],[Ventas]]=0,0,Indicadores[[#This Row],[EBITDA]]/Indicadores[[#This Row],[Ventas]])</f>
        <v>-0.19632798625398984</v>
      </c>
      <c r="P517" s="837">
        <f>IF(Indicadores[[#This Row],[Ventas]]=0,0,Indicadores[[#This Row],[UAI]]/Indicadores[[#This Row],[Ventas]])</f>
        <v>-0.29383828729875189</v>
      </c>
      <c r="Q517" s="837">
        <f>IFERROR(Indicadores[[#This Row],[Ventas]]/Indicadores[[#This Row],[Activos totales]],0)</f>
        <v>0.70153348548970762</v>
      </c>
    </row>
    <row r="518" spans="1:17" x14ac:dyDescent="0.35">
      <c r="A518" s="13" t="str">
        <f>MID(Indicadores[[#This Row],[CIIU]],2,4)</f>
        <v>1640</v>
      </c>
      <c r="B518" s="13" t="str">
        <f>Indicadores[[#This Row],[CIIU]]&amp;Indicadores[[#This Row],[Año]]</f>
        <v>C16402017</v>
      </c>
      <c r="C518" s="14" t="s">
        <v>2279</v>
      </c>
      <c r="D518" s="14" t="s">
        <v>2406</v>
      </c>
      <c r="E518" s="848">
        <v>2017</v>
      </c>
      <c r="F518" s="849" t="s">
        <v>2416</v>
      </c>
      <c r="G518" s="838" t="s">
        <v>2417</v>
      </c>
      <c r="H518" s="848" t="s">
        <v>2418</v>
      </c>
      <c r="I518" s="693" t="s">
        <v>2417</v>
      </c>
      <c r="J518" s="847">
        <v>-1703094</v>
      </c>
      <c r="K518" s="847">
        <v>-1703094</v>
      </c>
      <c r="L518" s="841">
        <v>6084746</v>
      </c>
      <c r="M518" s="847">
        <v>3433223</v>
      </c>
      <c r="N518" s="839">
        <f>Indicadores[[#This Row],[Ventas]]/Indicadores[[#This Row],[Activos totales]]</f>
        <v>0.56423439860924351</v>
      </c>
      <c r="O518" s="837">
        <f>IF(Indicadores[[#This Row],[Ventas]]=0,0,Indicadores[[#This Row],[EBITDA]]/Indicadores[[#This Row],[Ventas]])</f>
        <v>-0.4960627375501096</v>
      </c>
      <c r="P518" s="837">
        <f>IF(Indicadores[[#This Row],[Ventas]]=0,0,Indicadores[[#This Row],[UAI]]/Indicadores[[#This Row],[Ventas]])</f>
        <v>-0.4960627375501096</v>
      </c>
      <c r="Q518" s="837">
        <f>IFERROR(Indicadores[[#This Row],[Ventas]]/Indicadores[[#This Row],[Activos totales]],0)</f>
        <v>0.56423439860924351</v>
      </c>
    </row>
    <row r="519" spans="1:17" x14ac:dyDescent="0.35">
      <c r="A519" s="13" t="str">
        <f>MID(Indicadores[[#This Row],[CIIU]],2,4)</f>
        <v>1690</v>
      </c>
      <c r="B519" s="13" t="str">
        <f>Indicadores[[#This Row],[CIIU]]&amp;Indicadores[[#This Row],[Año]]</f>
        <v>C16902017</v>
      </c>
      <c r="C519" s="14" t="s">
        <v>2279</v>
      </c>
      <c r="D519" s="14" t="s">
        <v>2406</v>
      </c>
      <c r="E519" s="848">
        <v>2017</v>
      </c>
      <c r="F519" s="849" t="s">
        <v>2419</v>
      </c>
      <c r="G519" s="693" t="s">
        <v>2420</v>
      </c>
      <c r="H519" s="848" t="s">
        <v>2421</v>
      </c>
      <c r="I519" s="693" t="s">
        <v>2420</v>
      </c>
      <c r="J519" s="847">
        <v>3835536</v>
      </c>
      <c r="K519" s="847">
        <v>4526411</v>
      </c>
      <c r="L519" s="841">
        <v>58059040</v>
      </c>
      <c r="M519" s="847">
        <v>22308695</v>
      </c>
      <c r="N519" s="839">
        <f>Indicadores[[#This Row],[Ventas]]/Indicadores[[#This Row],[Activos totales]]</f>
        <v>0.38424154102444685</v>
      </c>
      <c r="O519" s="837">
        <f>IF(Indicadores[[#This Row],[Ventas]]=0,0,Indicadores[[#This Row],[EBITDA]]/Indicadores[[#This Row],[Ventas]])</f>
        <v>0.20289895935194774</v>
      </c>
      <c r="P519" s="837">
        <f>IF(Indicadores[[#This Row],[Ventas]]=0,0,Indicadores[[#This Row],[UAI]]/Indicadores[[#This Row],[Ventas]])</f>
        <v>0.17193009272841822</v>
      </c>
      <c r="Q519" s="837">
        <f>IFERROR(Indicadores[[#This Row],[Ventas]]/Indicadores[[#This Row],[Activos totales]],0)</f>
        <v>0.38424154102444685</v>
      </c>
    </row>
    <row r="520" spans="1:17" x14ac:dyDescent="0.35">
      <c r="A520" s="13" t="str">
        <f>MID(Indicadores[[#This Row],[CIIU]],2,4)</f>
        <v>1701</v>
      </c>
      <c r="B520" s="13" t="str">
        <f>Indicadores[[#This Row],[CIIU]]&amp;Indicadores[[#This Row],[Año]]</f>
        <v>C17012017</v>
      </c>
      <c r="C520" s="14" t="s">
        <v>2279</v>
      </c>
      <c r="D520" s="14" t="s">
        <v>2422</v>
      </c>
      <c r="E520" s="848">
        <v>2017</v>
      </c>
      <c r="F520" s="849" t="s">
        <v>2423</v>
      </c>
      <c r="G520" s="693" t="s">
        <v>2424</v>
      </c>
      <c r="H520" s="848" t="s">
        <v>2425</v>
      </c>
      <c r="I520" s="693" t="s">
        <v>2424</v>
      </c>
      <c r="J520" s="847">
        <v>46992536</v>
      </c>
      <c r="K520" s="847">
        <v>92725181</v>
      </c>
      <c r="L520" s="841">
        <v>1279128983</v>
      </c>
      <c r="M520" s="847">
        <v>940973278</v>
      </c>
      <c r="N520" s="839">
        <f>Indicadores[[#This Row],[Ventas]]/Indicadores[[#This Row],[Activos totales]]</f>
        <v>0.73563596049015489</v>
      </c>
      <c r="O520" s="837">
        <f>IF(Indicadores[[#This Row],[Ventas]]=0,0,Indicadores[[#This Row],[EBITDA]]/Indicadores[[#This Row],[Ventas]])</f>
        <v>9.8541779206614194E-2</v>
      </c>
      <c r="P520" s="837">
        <f>IF(Indicadores[[#This Row],[Ventas]]=0,0,Indicadores[[#This Row],[UAI]]/Indicadores[[#This Row],[Ventas]])</f>
        <v>4.9940351228549978E-2</v>
      </c>
      <c r="Q520" s="837">
        <f>IFERROR(Indicadores[[#This Row],[Ventas]]/Indicadores[[#This Row],[Activos totales]],0)</f>
        <v>0.73563596049015489</v>
      </c>
    </row>
    <row r="521" spans="1:17" x14ac:dyDescent="0.35">
      <c r="A521" s="13" t="str">
        <f>MID(Indicadores[[#This Row],[CIIU]],2,4)</f>
        <v>1702</v>
      </c>
      <c r="B521" s="13" t="str">
        <f>Indicadores[[#This Row],[CIIU]]&amp;Indicadores[[#This Row],[Año]]</f>
        <v>C17022017</v>
      </c>
      <c r="C521" s="14" t="s">
        <v>2279</v>
      </c>
      <c r="D521" s="14" t="s">
        <v>2422</v>
      </c>
      <c r="E521" s="848">
        <v>2017</v>
      </c>
      <c r="F521" s="849" t="s">
        <v>2426</v>
      </c>
      <c r="G521" s="693" t="s">
        <v>2427</v>
      </c>
      <c r="H521" s="848" t="s">
        <v>2428</v>
      </c>
      <c r="I521" s="693" t="s">
        <v>2429</v>
      </c>
      <c r="J521" s="847">
        <v>77091268</v>
      </c>
      <c r="K521" s="847">
        <v>192090876</v>
      </c>
      <c r="L521" s="841">
        <v>2063393952</v>
      </c>
      <c r="M521" s="847">
        <v>1454971986</v>
      </c>
      <c r="N521" s="839">
        <f>Indicadores[[#This Row],[Ventas]]/Indicadores[[#This Row],[Activos totales]]</f>
        <v>0.70513533520330873</v>
      </c>
      <c r="O521" s="837">
        <f>IF(Indicadores[[#This Row],[Ventas]]=0,0,Indicadores[[#This Row],[EBITDA]]/Indicadores[[#This Row],[Ventas]])</f>
        <v>0.13202376255236023</v>
      </c>
      <c r="P521" s="837">
        <f>IF(Indicadores[[#This Row],[Ventas]]=0,0,Indicadores[[#This Row],[UAI]]/Indicadores[[#This Row],[Ventas]])</f>
        <v>5.2984709493918737E-2</v>
      </c>
      <c r="Q521" s="837">
        <f>IFERROR(Indicadores[[#This Row],[Ventas]]/Indicadores[[#This Row],[Activos totales]],0)</f>
        <v>0.70513533520330873</v>
      </c>
    </row>
    <row r="522" spans="1:17" x14ac:dyDescent="0.35">
      <c r="A522" s="13" t="str">
        <f>MID(Indicadores[[#This Row],[CIIU]],2,4)</f>
        <v>1709</v>
      </c>
      <c r="B522" s="13" t="str">
        <f>Indicadores[[#This Row],[CIIU]]&amp;Indicadores[[#This Row],[Año]]</f>
        <v>C17092017</v>
      </c>
      <c r="C522" s="14" t="s">
        <v>2279</v>
      </c>
      <c r="D522" s="14" t="s">
        <v>2422</v>
      </c>
      <c r="E522" s="848">
        <v>2017</v>
      </c>
      <c r="F522" s="849" t="s">
        <v>2430</v>
      </c>
      <c r="G522" s="693" t="s">
        <v>2431</v>
      </c>
      <c r="H522" s="848" t="s">
        <v>2432</v>
      </c>
      <c r="I522" s="693" t="s">
        <v>2431</v>
      </c>
      <c r="J522" s="847">
        <v>479444827</v>
      </c>
      <c r="K522" s="847">
        <v>552735800</v>
      </c>
      <c r="L522" s="841">
        <v>5295232473</v>
      </c>
      <c r="M522" s="847">
        <v>4553987420</v>
      </c>
      <c r="N522" s="839">
        <f>Indicadores[[#This Row],[Ventas]]/Indicadores[[#This Row],[Activos totales]]</f>
        <v>0.86001652301772324</v>
      </c>
      <c r="O522" s="837">
        <f>IF(Indicadores[[#This Row],[Ventas]]=0,0,Indicadores[[#This Row],[EBITDA]]/Indicadores[[#This Row],[Ventas]])</f>
        <v>0.12137402874072938</v>
      </c>
      <c r="P522" s="837">
        <f>IF(Indicadores[[#This Row],[Ventas]]=0,0,Indicadores[[#This Row],[UAI]]/Indicadores[[#This Row],[Ventas]])</f>
        <v>0.10528022648775784</v>
      </c>
      <c r="Q522" s="837">
        <f>IFERROR(Indicadores[[#This Row],[Ventas]]/Indicadores[[#This Row],[Activos totales]],0)</f>
        <v>0.86001652301772324</v>
      </c>
    </row>
    <row r="523" spans="1:17" x14ac:dyDescent="0.35">
      <c r="A523" s="13" t="str">
        <f>MID(Indicadores[[#This Row],[CIIU]],2,4)</f>
        <v>1811</v>
      </c>
      <c r="B523" s="13" t="str">
        <f>Indicadores[[#This Row],[CIIU]]&amp;Indicadores[[#This Row],[Año]]</f>
        <v>C18112017</v>
      </c>
      <c r="C523" s="14" t="s">
        <v>2279</v>
      </c>
      <c r="D523" s="14" t="s">
        <v>2433</v>
      </c>
      <c r="E523" s="848">
        <v>2017</v>
      </c>
      <c r="F523" s="849" t="s">
        <v>2434</v>
      </c>
      <c r="G523" s="693" t="s">
        <v>2435</v>
      </c>
      <c r="H523" s="848" t="s">
        <v>2436</v>
      </c>
      <c r="I523" s="693" t="s">
        <v>2435</v>
      </c>
      <c r="J523" s="847">
        <v>108631628</v>
      </c>
      <c r="K523" s="847">
        <v>218130593</v>
      </c>
      <c r="L523" s="841">
        <v>2455883263</v>
      </c>
      <c r="M523" s="847">
        <v>2082801147</v>
      </c>
      <c r="N523" s="839">
        <f>Indicadores[[#This Row],[Ventas]]/Indicadores[[#This Row],[Activos totales]]</f>
        <v>0.84808638031749961</v>
      </c>
      <c r="O523" s="837">
        <f>IF(Indicadores[[#This Row],[Ventas]]=0,0,Indicadores[[#This Row],[EBITDA]]/Indicadores[[#This Row],[Ventas]])</f>
        <v>0.10472943771621612</v>
      </c>
      <c r="P523" s="837">
        <f>IF(Indicadores[[#This Row],[Ventas]]=0,0,Indicadores[[#This Row],[UAI]]/Indicadores[[#This Row],[Ventas]])</f>
        <v>5.2156504789940945E-2</v>
      </c>
      <c r="Q523" s="837">
        <f>IFERROR(Indicadores[[#This Row],[Ventas]]/Indicadores[[#This Row],[Activos totales]],0)</f>
        <v>0.84808638031749961</v>
      </c>
    </row>
    <row r="524" spans="1:17" x14ac:dyDescent="0.35">
      <c r="A524" s="13" t="str">
        <f>MID(Indicadores[[#This Row],[CIIU]],2,4)</f>
        <v>1812</v>
      </c>
      <c r="B524" s="13" t="str">
        <f>Indicadores[[#This Row],[CIIU]]&amp;Indicadores[[#This Row],[Año]]</f>
        <v>C18122017</v>
      </c>
      <c r="C524" s="14" t="s">
        <v>2279</v>
      </c>
      <c r="D524" s="14" t="s">
        <v>2433</v>
      </c>
      <c r="E524" s="848">
        <v>2017</v>
      </c>
      <c r="F524" s="849" t="s">
        <v>2437</v>
      </c>
      <c r="G524" s="693" t="s">
        <v>2438</v>
      </c>
      <c r="H524" s="848" t="s">
        <v>2439</v>
      </c>
      <c r="I524" s="693" t="s">
        <v>2438</v>
      </c>
      <c r="J524" s="847">
        <v>8215392</v>
      </c>
      <c r="K524" s="847">
        <v>14755733</v>
      </c>
      <c r="L524" s="841">
        <v>107215330</v>
      </c>
      <c r="M524" s="847">
        <v>108425738</v>
      </c>
      <c r="N524" s="839">
        <f>Indicadores[[#This Row],[Ventas]]/Indicadores[[#This Row],[Activos totales]]</f>
        <v>1.0112895049616506</v>
      </c>
      <c r="O524" s="837">
        <f>IF(Indicadores[[#This Row],[Ventas]]=0,0,Indicadores[[#This Row],[EBITDA]]/Indicadores[[#This Row],[Ventas]])</f>
        <v>0.13609068540534167</v>
      </c>
      <c r="P524" s="837">
        <f>IF(Indicadores[[#This Row],[Ventas]]=0,0,Indicadores[[#This Row],[UAI]]/Indicadores[[#This Row],[Ventas]])</f>
        <v>7.5769758652691852E-2</v>
      </c>
      <c r="Q524" s="837">
        <f>IFERROR(Indicadores[[#This Row],[Ventas]]/Indicadores[[#This Row],[Activos totales]],0)</f>
        <v>1.0112895049616506</v>
      </c>
    </row>
    <row r="525" spans="1:17" x14ac:dyDescent="0.35">
      <c r="A525" s="13" t="str">
        <f>MID(Indicadores[[#This Row],[CIIU]],2,4)</f>
        <v>1820</v>
      </c>
      <c r="B525" s="13" t="str">
        <f>Indicadores[[#This Row],[CIIU]]&amp;Indicadores[[#This Row],[Año]]</f>
        <v>C18202017</v>
      </c>
      <c r="C525" s="14" t="s">
        <v>2279</v>
      </c>
      <c r="D525" s="14" t="s">
        <v>2433</v>
      </c>
      <c r="E525" s="848">
        <v>2017</v>
      </c>
      <c r="F525" s="849" t="s">
        <v>2440</v>
      </c>
      <c r="G525" s="838" t="s">
        <v>2441</v>
      </c>
      <c r="H525" s="848" t="s">
        <v>2442</v>
      </c>
      <c r="I525" s="693" t="s">
        <v>2443</v>
      </c>
      <c r="J525" s="847">
        <v>1737954</v>
      </c>
      <c r="K525" s="847">
        <v>2476266</v>
      </c>
      <c r="L525" s="841">
        <v>25206824</v>
      </c>
      <c r="M525" s="847">
        <v>26325556</v>
      </c>
      <c r="N525" s="839">
        <f>Indicadores[[#This Row],[Ventas]]/Indicadores[[#This Row],[Activos totales]]</f>
        <v>1.0443821085909117</v>
      </c>
      <c r="O525" s="837">
        <f>IF(Indicadores[[#This Row],[Ventas]]=0,0,Indicadores[[#This Row],[EBITDA]]/Indicadores[[#This Row],[Ventas]])</f>
        <v>9.406319851326217E-2</v>
      </c>
      <c r="P525" s="837">
        <f>IF(Indicadores[[#This Row],[Ventas]]=0,0,Indicadores[[#This Row],[UAI]]/Indicadores[[#This Row],[Ventas]])</f>
        <v>6.6017750964120187E-2</v>
      </c>
      <c r="Q525" s="837">
        <f>IFERROR(Indicadores[[#This Row],[Ventas]]/Indicadores[[#This Row],[Activos totales]],0)</f>
        <v>1.0443821085909117</v>
      </c>
    </row>
    <row r="526" spans="1:17" x14ac:dyDescent="0.35">
      <c r="A526" s="13" t="str">
        <f>MID(Indicadores[[#This Row],[CIIU]],2,4)</f>
        <v>1910</v>
      </c>
      <c r="B526" s="13" t="str">
        <f>Indicadores[[#This Row],[CIIU]]&amp;Indicadores[[#This Row],[Año]]</f>
        <v>C19102017</v>
      </c>
      <c r="C526" s="14" t="s">
        <v>2279</v>
      </c>
      <c r="D526" s="14" t="s">
        <v>2444</v>
      </c>
      <c r="E526" s="848">
        <v>2017</v>
      </c>
      <c r="F526" s="849" t="s">
        <v>2445</v>
      </c>
      <c r="G526" s="693" t="s">
        <v>2446</v>
      </c>
      <c r="H526" s="848" t="s">
        <v>2447</v>
      </c>
      <c r="I526" s="693" t="s">
        <v>2446</v>
      </c>
      <c r="J526" s="847">
        <v>103026315</v>
      </c>
      <c r="K526" s="847">
        <v>136294859</v>
      </c>
      <c r="L526" s="841">
        <v>561724317</v>
      </c>
      <c r="M526" s="847">
        <v>812291013</v>
      </c>
      <c r="N526" s="839">
        <f>Indicadores[[#This Row],[Ventas]]/Indicadores[[#This Row],[Activos totales]]</f>
        <v>1.4460670268615059</v>
      </c>
      <c r="O526" s="837">
        <f>IF(Indicadores[[#This Row],[Ventas]]=0,0,Indicadores[[#This Row],[EBITDA]]/Indicadores[[#This Row],[Ventas]])</f>
        <v>0.16779067700949685</v>
      </c>
      <c r="P526" s="837">
        <f>IF(Indicadores[[#This Row],[Ventas]]=0,0,Indicadores[[#This Row],[UAI]]/Indicadores[[#This Row],[Ventas]])</f>
        <v>0.12683424210185124</v>
      </c>
      <c r="Q526" s="837">
        <f>IFERROR(Indicadores[[#This Row],[Ventas]]/Indicadores[[#This Row],[Activos totales]],0)</f>
        <v>1.4460670268615059</v>
      </c>
    </row>
    <row r="527" spans="1:17" x14ac:dyDescent="0.35">
      <c r="A527" s="13" t="str">
        <f>MID(Indicadores[[#This Row],[CIIU]],2,4)</f>
        <v>1921</v>
      </c>
      <c r="B527" s="13" t="str">
        <f>Indicadores[[#This Row],[CIIU]]&amp;Indicadores[[#This Row],[Año]]</f>
        <v>C19212017</v>
      </c>
      <c r="C527" s="14" t="s">
        <v>2279</v>
      </c>
      <c r="D527" s="14" t="s">
        <v>2444</v>
      </c>
      <c r="E527" s="848">
        <v>2017</v>
      </c>
      <c r="F527" s="849" t="s">
        <v>2448</v>
      </c>
      <c r="G527" s="693" t="s">
        <v>2449</v>
      </c>
      <c r="H527" s="848" t="s">
        <v>2450</v>
      </c>
      <c r="I527" s="693" t="s">
        <v>2449</v>
      </c>
      <c r="J527" s="847">
        <v>141322960</v>
      </c>
      <c r="K527" s="847">
        <v>1467401025</v>
      </c>
      <c r="L527" s="841">
        <v>27474682722</v>
      </c>
      <c r="M527" s="847">
        <v>9945433811</v>
      </c>
      <c r="N527" s="839">
        <f>Indicadores[[#This Row],[Ventas]]/Indicadores[[#This Row],[Activos totales]]</f>
        <v>0.36198539257511869</v>
      </c>
      <c r="O527" s="837">
        <f>IF(Indicadores[[#This Row],[Ventas]]=0,0,Indicadores[[#This Row],[EBITDA]]/Indicadores[[#This Row],[Ventas]])</f>
        <v>0.14754520042926664</v>
      </c>
      <c r="P527" s="837">
        <f>IF(Indicadores[[#This Row],[Ventas]]=0,0,Indicadores[[#This Row],[UAI]]/Indicadores[[#This Row],[Ventas]])</f>
        <v>1.4209833646843221E-2</v>
      </c>
      <c r="Q527" s="837">
        <f>IFERROR(Indicadores[[#This Row],[Ventas]]/Indicadores[[#This Row],[Activos totales]],0)</f>
        <v>0.36198539257511869</v>
      </c>
    </row>
    <row r="528" spans="1:17" x14ac:dyDescent="0.35">
      <c r="A528" s="13" t="str">
        <f>MID(Indicadores[[#This Row],[CIIU]],2,4)</f>
        <v>2011</v>
      </c>
      <c r="B528" s="13" t="str">
        <f>Indicadores[[#This Row],[CIIU]]&amp;Indicadores[[#This Row],[Año]]</f>
        <v>C20112017</v>
      </c>
      <c r="C528" s="14" t="s">
        <v>2279</v>
      </c>
      <c r="D528" s="14" t="s">
        <v>2451</v>
      </c>
      <c r="E528" s="848">
        <v>2017</v>
      </c>
      <c r="F528" s="849" t="s">
        <v>2452</v>
      </c>
      <c r="G528" s="693" t="s">
        <v>2453</v>
      </c>
      <c r="H528" s="848" t="s">
        <v>2454</v>
      </c>
      <c r="I528" s="693" t="s">
        <v>2453</v>
      </c>
      <c r="J528" s="847">
        <v>147513783</v>
      </c>
      <c r="K528" s="847">
        <v>282959580</v>
      </c>
      <c r="L528" s="841">
        <v>2867477902</v>
      </c>
      <c r="M528" s="847">
        <v>1882025613</v>
      </c>
      <c r="N528" s="839">
        <f>Indicadores[[#This Row],[Ventas]]/Indicadores[[#This Row],[Activos totales]]</f>
        <v>0.65633482709224378</v>
      </c>
      <c r="O528" s="837">
        <f>IF(Indicadores[[#This Row],[Ventas]]=0,0,Indicadores[[#This Row],[EBITDA]]/Indicadores[[#This Row],[Ventas]])</f>
        <v>0.15034842142714239</v>
      </c>
      <c r="P528" s="837">
        <f>IF(Indicadores[[#This Row],[Ventas]]=0,0,Indicadores[[#This Row],[UAI]]/Indicadores[[#This Row],[Ventas]])</f>
        <v>7.8380327016303999E-2</v>
      </c>
      <c r="Q528" s="837">
        <f>IFERROR(Indicadores[[#This Row],[Ventas]]/Indicadores[[#This Row],[Activos totales]],0)</f>
        <v>0.65633482709224378</v>
      </c>
    </row>
    <row r="529" spans="1:17" x14ac:dyDescent="0.35">
      <c r="A529" s="13" t="str">
        <f>MID(Indicadores[[#This Row],[CIIU]],2,4)</f>
        <v>2012</v>
      </c>
      <c r="B529" s="13" t="str">
        <f>Indicadores[[#This Row],[CIIU]]&amp;Indicadores[[#This Row],[Año]]</f>
        <v>C20122017</v>
      </c>
      <c r="C529" s="14" t="s">
        <v>2279</v>
      </c>
      <c r="D529" s="14" t="s">
        <v>2451</v>
      </c>
      <c r="E529" s="848">
        <v>2017</v>
      </c>
      <c r="F529" s="849" t="s">
        <v>2455</v>
      </c>
      <c r="G529" s="693" t="s">
        <v>2456</v>
      </c>
      <c r="H529" s="848" t="s">
        <v>2457</v>
      </c>
      <c r="I529" s="693" t="s">
        <v>2456</v>
      </c>
      <c r="J529" s="847">
        <v>506985.76000000536</v>
      </c>
      <c r="K529" s="847">
        <v>100287144.03</v>
      </c>
      <c r="L529" s="841">
        <v>2931469498.79</v>
      </c>
      <c r="M529" s="847">
        <v>3033077008.5999999</v>
      </c>
      <c r="N529" s="839">
        <f>Indicadores[[#This Row],[Ventas]]/Indicadores[[#This Row],[Activos totales]]</f>
        <v>1.034660947300301</v>
      </c>
      <c r="O529" s="837">
        <f>IF(Indicadores[[#This Row],[Ventas]]=0,0,Indicadores[[#This Row],[EBITDA]]/Indicadores[[#This Row],[Ventas]])</f>
        <v>3.306448987138981E-2</v>
      </c>
      <c r="P529" s="837">
        <f>IF(Indicadores[[#This Row],[Ventas]]=0,0,Indicadores[[#This Row],[UAI]]/Indicadores[[#This Row],[Ventas]])</f>
        <v>1.6715228745016881E-4</v>
      </c>
      <c r="Q529" s="837">
        <f>IFERROR(Indicadores[[#This Row],[Ventas]]/Indicadores[[#This Row],[Activos totales]],0)</f>
        <v>1.034660947300301</v>
      </c>
    </row>
    <row r="530" spans="1:17" x14ac:dyDescent="0.35">
      <c r="A530" s="13" t="str">
        <f>MID(Indicadores[[#This Row],[CIIU]],2,4)</f>
        <v>2013</v>
      </c>
      <c r="B530" s="13" t="str">
        <f>Indicadores[[#This Row],[CIIU]]&amp;Indicadores[[#This Row],[Año]]</f>
        <v>C20132017</v>
      </c>
      <c r="C530" s="14" t="s">
        <v>2279</v>
      </c>
      <c r="D530" s="14" t="s">
        <v>2451</v>
      </c>
      <c r="E530" s="848">
        <v>2017</v>
      </c>
      <c r="F530" s="849" t="s">
        <v>2458</v>
      </c>
      <c r="G530" s="693" t="s">
        <v>2459</v>
      </c>
      <c r="H530" s="848" t="s">
        <v>2460</v>
      </c>
      <c r="I530" s="693" t="s">
        <v>2459</v>
      </c>
      <c r="J530" s="847">
        <v>490543553</v>
      </c>
      <c r="K530" s="847">
        <v>488260331</v>
      </c>
      <c r="L530" s="841">
        <v>3698265600</v>
      </c>
      <c r="M530" s="847">
        <v>4971238622</v>
      </c>
      <c r="N530" s="839">
        <f>Indicadores[[#This Row],[Ventas]]/Indicadores[[#This Row],[Activos totales]]</f>
        <v>1.3442081125812055</v>
      </c>
      <c r="O530" s="837">
        <f>IF(Indicadores[[#This Row],[Ventas]]=0,0,Indicadores[[#This Row],[EBITDA]]/Indicadores[[#This Row],[Ventas]])</f>
        <v>9.8217037669289339E-2</v>
      </c>
      <c r="P530" s="837">
        <f>IF(Indicadores[[#This Row],[Ventas]]=0,0,Indicadores[[#This Row],[UAI]]/Indicadores[[#This Row],[Ventas]])</f>
        <v>9.8676324010905633E-2</v>
      </c>
      <c r="Q530" s="837">
        <f>IFERROR(Indicadores[[#This Row],[Ventas]]/Indicadores[[#This Row],[Activos totales]],0)</f>
        <v>1.3442081125812055</v>
      </c>
    </row>
    <row r="531" spans="1:17" x14ac:dyDescent="0.35">
      <c r="A531" s="13" t="str">
        <f>MID(Indicadores[[#This Row],[CIIU]],2,4)</f>
        <v>2014</v>
      </c>
      <c r="B531" s="13" t="str">
        <f>Indicadores[[#This Row],[CIIU]]&amp;Indicadores[[#This Row],[Año]]</f>
        <v>C20142017</v>
      </c>
      <c r="C531" s="14" t="s">
        <v>2279</v>
      </c>
      <c r="D531" s="14" t="s">
        <v>2451</v>
      </c>
      <c r="E531" s="848">
        <v>2017</v>
      </c>
      <c r="F531" s="849" t="s">
        <v>2461</v>
      </c>
      <c r="G531" s="693" t="s">
        <v>2462</v>
      </c>
      <c r="H531" s="848" t="s">
        <v>2463</v>
      </c>
      <c r="I531" s="693" t="s">
        <v>2462</v>
      </c>
      <c r="J531" s="847">
        <v>3719079</v>
      </c>
      <c r="K531" s="847">
        <v>6451889</v>
      </c>
      <c r="L531" s="841">
        <v>51097257</v>
      </c>
      <c r="M531" s="847">
        <v>47153354</v>
      </c>
      <c r="N531" s="839">
        <f>Indicadores[[#This Row],[Ventas]]/Indicadores[[#This Row],[Activos totales]]</f>
        <v>0.9228157589750855</v>
      </c>
      <c r="O531" s="837">
        <f>IF(Indicadores[[#This Row],[Ventas]]=0,0,Indicadores[[#This Row],[EBITDA]]/Indicadores[[#This Row],[Ventas]])</f>
        <v>0.13682778535753787</v>
      </c>
      <c r="P531" s="837">
        <f>IF(Indicadores[[#This Row],[Ventas]]=0,0,Indicadores[[#This Row],[UAI]]/Indicadores[[#This Row],[Ventas]])</f>
        <v>7.8871992859723197E-2</v>
      </c>
      <c r="Q531" s="837">
        <f>IFERROR(Indicadores[[#This Row],[Ventas]]/Indicadores[[#This Row],[Activos totales]],0)</f>
        <v>0.9228157589750855</v>
      </c>
    </row>
    <row r="532" spans="1:17" x14ac:dyDescent="0.35">
      <c r="A532" s="13" t="str">
        <f>MID(Indicadores[[#This Row],[CIIU]],2,4)</f>
        <v>2021</v>
      </c>
      <c r="B532" s="13" t="str">
        <f>Indicadores[[#This Row],[CIIU]]&amp;Indicadores[[#This Row],[Año]]</f>
        <v>C20212017</v>
      </c>
      <c r="C532" s="14" t="s">
        <v>2279</v>
      </c>
      <c r="D532" s="14" t="s">
        <v>2451</v>
      </c>
      <c r="E532" s="848">
        <v>2017</v>
      </c>
      <c r="F532" s="849" t="s">
        <v>2464</v>
      </c>
      <c r="G532" s="693" t="s">
        <v>2465</v>
      </c>
      <c r="H532" s="848" t="s">
        <v>2466</v>
      </c>
      <c r="I532" s="693" t="s">
        <v>2465</v>
      </c>
      <c r="J532" s="847">
        <v>137621237</v>
      </c>
      <c r="K532" s="847">
        <v>171715054</v>
      </c>
      <c r="L532" s="841">
        <v>1625914340</v>
      </c>
      <c r="M532" s="847">
        <v>1477826239</v>
      </c>
      <c r="N532" s="839">
        <f>Indicadores[[#This Row],[Ventas]]/Indicadores[[#This Row],[Activos totales]]</f>
        <v>0.90892010891545494</v>
      </c>
      <c r="O532" s="837">
        <f>IF(Indicadores[[#This Row],[Ventas]]=0,0,Indicadores[[#This Row],[EBITDA]]/Indicadores[[#This Row],[Ventas]])</f>
        <v>0.11619434644508297</v>
      </c>
      <c r="P532" s="837">
        <f>IF(Indicadores[[#This Row],[Ventas]]=0,0,Indicadores[[#This Row],[UAI]]/Indicadores[[#This Row],[Ventas]])</f>
        <v>9.3124099009856603E-2</v>
      </c>
      <c r="Q532" s="837">
        <f>IFERROR(Indicadores[[#This Row],[Ventas]]/Indicadores[[#This Row],[Activos totales]],0)</f>
        <v>0.90892010891545494</v>
      </c>
    </row>
    <row r="533" spans="1:17" x14ac:dyDescent="0.35">
      <c r="A533" s="13" t="str">
        <f>MID(Indicadores[[#This Row],[CIIU]],2,4)</f>
        <v>2022</v>
      </c>
      <c r="B533" s="13" t="str">
        <f>Indicadores[[#This Row],[CIIU]]&amp;Indicadores[[#This Row],[Año]]</f>
        <v>C20222017</v>
      </c>
      <c r="C533" s="14" t="s">
        <v>2279</v>
      </c>
      <c r="D533" s="14" t="s">
        <v>2451</v>
      </c>
      <c r="E533" s="848">
        <v>2017</v>
      </c>
      <c r="F533" s="849" t="s">
        <v>2467</v>
      </c>
      <c r="G533" s="693" t="s">
        <v>2468</v>
      </c>
      <c r="H533" s="848" t="s">
        <v>2469</v>
      </c>
      <c r="I533" s="693" t="s">
        <v>2468</v>
      </c>
      <c r="J533" s="847">
        <v>67360195</v>
      </c>
      <c r="K533" s="847">
        <v>110420772</v>
      </c>
      <c r="L533" s="841">
        <v>1488847461</v>
      </c>
      <c r="M533" s="847">
        <v>1397734989</v>
      </c>
      <c r="N533" s="839">
        <f>Indicadores[[#This Row],[Ventas]]/Indicadores[[#This Row],[Activos totales]]</f>
        <v>0.93880335334097731</v>
      </c>
      <c r="O533" s="837">
        <f>IF(Indicadores[[#This Row],[Ventas]]=0,0,Indicadores[[#This Row],[EBITDA]]/Indicadores[[#This Row],[Ventas]])</f>
        <v>7.8999790996861136E-2</v>
      </c>
      <c r="P533" s="837">
        <f>IF(Indicadores[[#This Row],[Ventas]]=0,0,Indicadores[[#This Row],[UAI]]/Indicadores[[#This Row],[Ventas]])</f>
        <v>4.8192393787174485E-2</v>
      </c>
      <c r="Q533" s="837">
        <f>IFERROR(Indicadores[[#This Row],[Ventas]]/Indicadores[[#This Row],[Activos totales]],0)</f>
        <v>0.93880335334097731</v>
      </c>
    </row>
    <row r="534" spans="1:17" x14ac:dyDescent="0.35">
      <c r="A534" s="13" t="str">
        <f>MID(Indicadores[[#This Row],[CIIU]],2,4)</f>
        <v>2023</v>
      </c>
      <c r="B534" s="13" t="str">
        <f>Indicadores[[#This Row],[CIIU]]&amp;Indicadores[[#This Row],[Año]]</f>
        <v>C20232017</v>
      </c>
      <c r="C534" s="14" t="s">
        <v>2279</v>
      </c>
      <c r="D534" s="14" t="s">
        <v>2451</v>
      </c>
      <c r="E534" s="848">
        <v>2017</v>
      </c>
      <c r="F534" s="849" t="s">
        <v>2470</v>
      </c>
      <c r="G534" s="693" t="s">
        <v>2471</v>
      </c>
      <c r="H534" s="848" t="s">
        <v>2472</v>
      </c>
      <c r="I534" s="693" t="s">
        <v>2471</v>
      </c>
      <c r="J534" s="847">
        <v>440127020</v>
      </c>
      <c r="K534" s="847">
        <v>716236478</v>
      </c>
      <c r="L534" s="841">
        <v>6659819419</v>
      </c>
      <c r="M534" s="847">
        <v>7450343590</v>
      </c>
      <c r="N534" s="839">
        <f>Indicadores[[#This Row],[Ventas]]/Indicadores[[#This Row],[Activos totales]]</f>
        <v>1.1187005414508222</v>
      </c>
      <c r="O534" s="837">
        <f>IF(Indicadores[[#This Row],[Ventas]]=0,0,Indicadores[[#This Row],[EBITDA]]/Indicadores[[#This Row],[Ventas]])</f>
        <v>9.6134690883430782E-2</v>
      </c>
      <c r="P534" s="837">
        <f>IF(Indicadores[[#This Row],[Ventas]]=0,0,Indicadores[[#This Row],[UAI]]/Indicadores[[#This Row],[Ventas]])</f>
        <v>5.9074727854262626E-2</v>
      </c>
      <c r="Q534" s="837">
        <f>IFERROR(Indicadores[[#This Row],[Ventas]]/Indicadores[[#This Row],[Activos totales]],0)</f>
        <v>1.1187005414508222</v>
      </c>
    </row>
    <row r="535" spans="1:17" x14ac:dyDescent="0.35">
      <c r="A535" s="13" t="str">
        <f>MID(Indicadores[[#This Row],[CIIU]],2,4)</f>
        <v>2029</v>
      </c>
      <c r="B535" s="13" t="str">
        <f>Indicadores[[#This Row],[CIIU]]&amp;Indicadores[[#This Row],[Año]]</f>
        <v>C20292017</v>
      </c>
      <c r="C535" s="14" t="s">
        <v>2279</v>
      </c>
      <c r="D535" s="14" t="s">
        <v>2451</v>
      </c>
      <c r="E535" s="848">
        <v>2017</v>
      </c>
      <c r="F535" s="849" t="s">
        <v>2473</v>
      </c>
      <c r="G535" s="693" t="s">
        <v>2474</v>
      </c>
      <c r="H535" s="848" t="s">
        <v>2475</v>
      </c>
      <c r="I535" s="693" t="s">
        <v>2474</v>
      </c>
      <c r="J535" s="847">
        <v>377610292</v>
      </c>
      <c r="K535" s="847">
        <v>544291616</v>
      </c>
      <c r="L535" s="841">
        <v>4072418189</v>
      </c>
      <c r="M535" s="847">
        <v>4208001643</v>
      </c>
      <c r="N535" s="839">
        <f>Indicadores[[#This Row],[Ventas]]/Indicadores[[#This Row],[Activos totales]]</f>
        <v>1.0332931068735092</v>
      </c>
      <c r="O535" s="837">
        <f>IF(Indicadores[[#This Row],[Ventas]]=0,0,Indicadores[[#This Row],[EBITDA]]/Indicadores[[#This Row],[Ventas]])</f>
        <v>0.12934681641710566</v>
      </c>
      <c r="P535" s="837">
        <f>IF(Indicadores[[#This Row],[Ventas]]=0,0,Indicadores[[#This Row],[UAI]]/Indicadores[[#This Row],[Ventas]])</f>
        <v>8.9736251084443788E-2</v>
      </c>
      <c r="Q535" s="837">
        <f>IFERROR(Indicadores[[#This Row],[Ventas]]/Indicadores[[#This Row],[Activos totales]],0)</f>
        <v>1.0332931068735092</v>
      </c>
    </row>
    <row r="536" spans="1:17" x14ac:dyDescent="0.35">
      <c r="A536" s="13" t="str">
        <f>MID(Indicadores[[#This Row],[CIIU]],2,4)</f>
        <v>2030</v>
      </c>
      <c r="B536" s="13" t="str">
        <f>Indicadores[[#This Row],[CIIU]]&amp;Indicadores[[#This Row],[Año]]</f>
        <v>C20302017</v>
      </c>
      <c r="C536" s="14" t="s">
        <v>2279</v>
      </c>
      <c r="D536" s="14" t="s">
        <v>2451</v>
      </c>
      <c r="E536" s="848">
        <v>2017</v>
      </c>
      <c r="F536" s="849" t="s">
        <v>2476</v>
      </c>
      <c r="G536" s="693" t="s">
        <v>2477</v>
      </c>
      <c r="H536" s="848" t="s">
        <v>2478</v>
      </c>
      <c r="I536" s="693" t="s">
        <v>2477</v>
      </c>
      <c r="J536" s="847">
        <v>-2767034</v>
      </c>
      <c r="K536" s="847">
        <v>2766406</v>
      </c>
      <c r="L536" s="841">
        <v>86776086</v>
      </c>
      <c r="M536" s="847">
        <v>43345058</v>
      </c>
      <c r="N536" s="839">
        <f>Indicadores[[#This Row],[Ventas]]/Indicadores[[#This Row],[Activos totales]]</f>
        <v>0.49950464463216282</v>
      </c>
      <c r="O536" s="837">
        <f>IF(Indicadores[[#This Row],[Ventas]]=0,0,Indicadores[[#This Row],[EBITDA]]/Indicadores[[#This Row],[Ventas]])</f>
        <v>6.3822869956708786E-2</v>
      </c>
      <c r="P536" s="837">
        <f>IF(Indicadores[[#This Row],[Ventas]]=0,0,Indicadores[[#This Row],[UAI]]/Indicadores[[#This Row],[Ventas]])</f>
        <v>-6.3837358344289219E-2</v>
      </c>
      <c r="Q536" s="837">
        <f>IFERROR(Indicadores[[#This Row],[Ventas]]/Indicadores[[#This Row],[Activos totales]],0)</f>
        <v>0.49950464463216282</v>
      </c>
    </row>
    <row r="537" spans="1:17" x14ac:dyDescent="0.35">
      <c r="A537" s="13" t="str">
        <f>MID(Indicadores[[#This Row],[CIIU]],2,4)</f>
        <v>2100</v>
      </c>
      <c r="B537" s="13" t="str">
        <f>Indicadores[[#This Row],[CIIU]]&amp;Indicadores[[#This Row],[Año]]</f>
        <v>C21002017</v>
      </c>
      <c r="C537" s="14" t="s">
        <v>2279</v>
      </c>
      <c r="D537" s="14" t="s">
        <v>2479</v>
      </c>
      <c r="E537" s="848">
        <v>2017</v>
      </c>
      <c r="F537" s="849" t="s">
        <v>2480</v>
      </c>
      <c r="G537" s="693" t="s">
        <v>2481</v>
      </c>
      <c r="H537" s="848" t="s">
        <v>2482</v>
      </c>
      <c r="I537" s="693" t="s">
        <v>2481</v>
      </c>
      <c r="J537" s="847">
        <v>630244613</v>
      </c>
      <c r="K537" s="847">
        <v>945094936</v>
      </c>
      <c r="L537" s="841">
        <v>8191798120</v>
      </c>
      <c r="M537" s="847">
        <v>6969190972</v>
      </c>
      <c r="N537" s="839">
        <f>Indicadores[[#This Row],[Ventas]]/Indicadores[[#This Row],[Activos totales]]</f>
        <v>0.85075228538468917</v>
      </c>
      <c r="O537" s="837">
        <f>IF(Indicadores[[#This Row],[Ventas]]=0,0,Indicadores[[#This Row],[EBITDA]]/Indicadores[[#This Row],[Ventas]])</f>
        <v>0.13561042304581578</v>
      </c>
      <c r="P537" s="837">
        <f>IF(Indicadores[[#This Row],[Ventas]]=0,0,Indicadores[[#This Row],[UAI]]/Indicadores[[#This Row],[Ventas]])</f>
        <v>9.0432966399130552E-2</v>
      </c>
      <c r="Q537" s="837">
        <f>IFERROR(Indicadores[[#This Row],[Ventas]]/Indicadores[[#This Row],[Activos totales]],0)</f>
        <v>0.85075228538468917</v>
      </c>
    </row>
    <row r="538" spans="1:17" x14ac:dyDescent="0.35">
      <c r="A538" s="13" t="str">
        <f>MID(Indicadores[[#This Row],[CIIU]],2,4)</f>
        <v>2211</v>
      </c>
      <c r="B538" s="13" t="str">
        <f>Indicadores[[#This Row],[CIIU]]&amp;Indicadores[[#This Row],[Año]]</f>
        <v>C22112017</v>
      </c>
      <c r="C538" s="14" t="s">
        <v>2279</v>
      </c>
      <c r="D538" s="14" t="s">
        <v>2483</v>
      </c>
      <c r="E538" s="848">
        <v>2017</v>
      </c>
      <c r="F538" s="849" t="s">
        <v>2484</v>
      </c>
      <c r="G538" s="838" t="s">
        <v>2485</v>
      </c>
      <c r="H538" s="848" t="s">
        <v>2486</v>
      </c>
      <c r="I538" s="693" t="s">
        <v>2485</v>
      </c>
      <c r="J538" s="847">
        <v>710379</v>
      </c>
      <c r="K538" s="847">
        <v>2168950</v>
      </c>
      <c r="L538" s="841">
        <v>13700909</v>
      </c>
      <c r="M538" s="847">
        <v>15369188</v>
      </c>
      <c r="N538" s="839">
        <f>Indicadores[[#This Row],[Ventas]]/Indicadores[[#This Row],[Activos totales]]</f>
        <v>1.1217641106878382</v>
      </c>
      <c r="O538" s="837">
        <f>IF(Indicadores[[#This Row],[Ventas]]=0,0,Indicadores[[#This Row],[EBITDA]]/Indicadores[[#This Row],[Ventas]])</f>
        <v>0.1411232655882666</v>
      </c>
      <c r="P538" s="837">
        <f>IF(Indicadores[[#This Row],[Ventas]]=0,0,Indicadores[[#This Row],[UAI]]/Indicadores[[#This Row],[Ventas]])</f>
        <v>4.6220984478815667E-2</v>
      </c>
      <c r="Q538" s="837">
        <f>IFERROR(Indicadores[[#This Row],[Ventas]]/Indicadores[[#This Row],[Activos totales]],0)</f>
        <v>1.1217641106878382</v>
      </c>
    </row>
    <row r="539" spans="1:17" x14ac:dyDescent="0.35">
      <c r="A539" s="13" t="str">
        <f>MID(Indicadores[[#This Row],[CIIU]],2,4)</f>
        <v>2212</v>
      </c>
      <c r="B539" s="13" t="str">
        <f>Indicadores[[#This Row],[CIIU]]&amp;Indicadores[[#This Row],[Año]]</f>
        <v>C22122017</v>
      </c>
      <c r="C539" s="14" t="s">
        <v>2279</v>
      </c>
      <c r="D539" s="14" t="s">
        <v>2483</v>
      </c>
      <c r="E539" s="848">
        <v>2017</v>
      </c>
      <c r="F539" s="849" t="s">
        <v>2487</v>
      </c>
      <c r="G539" s="693" t="s">
        <v>2488</v>
      </c>
      <c r="H539" s="848" t="s">
        <v>2489</v>
      </c>
      <c r="I539" s="693" t="s">
        <v>2488</v>
      </c>
      <c r="J539" s="847">
        <v>2708857</v>
      </c>
      <c r="K539" s="847">
        <v>4616254</v>
      </c>
      <c r="L539" s="841">
        <v>61481049</v>
      </c>
      <c r="M539" s="847">
        <v>63962399</v>
      </c>
      <c r="N539" s="839">
        <f>Indicadores[[#This Row],[Ventas]]/Indicadores[[#This Row],[Activos totales]]</f>
        <v>1.040359591131895</v>
      </c>
      <c r="O539" s="837">
        <f>IF(Indicadores[[#This Row],[Ventas]]=0,0,Indicadores[[#This Row],[EBITDA]]/Indicadores[[#This Row],[Ventas]])</f>
        <v>7.2171370557880421E-2</v>
      </c>
      <c r="P539" s="837">
        <f>IF(Indicadores[[#This Row],[Ventas]]=0,0,Indicadores[[#This Row],[UAI]]/Indicadores[[#This Row],[Ventas]])</f>
        <v>4.2350772365495545E-2</v>
      </c>
      <c r="Q539" s="837">
        <f>IFERROR(Indicadores[[#This Row],[Ventas]]/Indicadores[[#This Row],[Activos totales]],0)</f>
        <v>1.040359591131895</v>
      </c>
    </row>
    <row r="540" spans="1:17" x14ac:dyDescent="0.35">
      <c r="A540" s="13" t="str">
        <f>MID(Indicadores[[#This Row],[CIIU]],2,4)</f>
        <v>2219</v>
      </c>
      <c r="B540" s="13" t="str">
        <f>Indicadores[[#This Row],[CIIU]]&amp;Indicadores[[#This Row],[Año]]</f>
        <v>C22192017</v>
      </c>
      <c r="C540" s="14" t="s">
        <v>2279</v>
      </c>
      <c r="D540" s="14" t="s">
        <v>2483</v>
      </c>
      <c r="E540" s="848">
        <v>2017</v>
      </c>
      <c r="F540" s="849" t="s">
        <v>2490</v>
      </c>
      <c r="G540" s="693" t="s">
        <v>2491</v>
      </c>
      <c r="H540" s="848" t="s">
        <v>2492</v>
      </c>
      <c r="I540" s="693" t="s">
        <v>2491</v>
      </c>
      <c r="J540" s="847">
        <v>31013739</v>
      </c>
      <c r="K540" s="847">
        <v>54655061</v>
      </c>
      <c r="L540" s="841">
        <v>464973025</v>
      </c>
      <c r="M540" s="847">
        <v>418549929</v>
      </c>
      <c r="N540" s="839">
        <f>Indicadores[[#This Row],[Ventas]]/Indicadores[[#This Row],[Activos totales]]</f>
        <v>0.90015959312908533</v>
      </c>
      <c r="O540" s="837">
        <f>IF(Indicadores[[#This Row],[Ventas]]=0,0,Indicadores[[#This Row],[EBITDA]]/Indicadores[[#This Row],[Ventas]])</f>
        <v>0.13058193829009107</v>
      </c>
      <c r="P540" s="837">
        <f>IF(Indicadores[[#This Row],[Ventas]]=0,0,Indicadores[[#This Row],[UAI]]/Indicadores[[#This Row],[Ventas]])</f>
        <v>7.4098062981632948E-2</v>
      </c>
      <c r="Q540" s="837">
        <f>IFERROR(Indicadores[[#This Row],[Ventas]]/Indicadores[[#This Row],[Activos totales]],0)</f>
        <v>0.90015959312908533</v>
      </c>
    </row>
    <row r="541" spans="1:17" x14ac:dyDescent="0.35">
      <c r="A541" s="13" t="str">
        <f>MID(Indicadores[[#This Row],[CIIU]],2,4)</f>
        <v>2221</v>
      </c>
      <c r="B541" s="13" t="str">
        <f>Indicadores[[#This Row],[CIIU]]&amp;Indicadores[[#This Row],[Año]]</f>
        <v>C22212017</v>
      </c>
      <c r="C541" s="14" t="s">
        <v>2279</v>
      </c>
      <c r="D541" s="14" t="s">
        <v>2483</v>
      </c>
      <c r="E541" s="848">
        <v>2017</v>
      </c>
      <c r="F541" s="849" t="s">
        <v>7</v>
      </c>
      <c r="G541" s="693" t="s">
        <v>2493</v>
      </c>
      <c r="H541" s="848" t="s">
        <v>2494</v>
      </c>
      <c r="I541" s="693" t="s">
        <v>2493</v>
      </c>
      <c r="J541" s="847">
        <v>94093210</v>
      </c>
      <c r="K541" s="847">
        <v>268230458</v>
      </c>
      <c r="L541" s="841">
        <v>3006284540</v>
      </c>
      <c r="M541" s="847">
        <v>2516042529</v>
      </c>
      <c r="N541" s="839">
        <f>Indicadores[[#This Row],[Ventas]]/Indicadores[[#This Row],[Activos totales]]</f>
        <v>0.83692760799016053</v>
      </c>
      <c r="O541" s="837">
        <f>IF(Indicadores[[#This Row],[Ventas]]=0,0,Indicadores[[#This Row],[EBITDA]]/Indicadores[[#This Row],[Ventas]])</f>
        <v>0.1066080779272869</v>
      </c>
      <c r="P541" s="837">
        <f>IF(Indicadores[[#This Row],[Ventas]]=0,0,Indicadores[[#This Row],[UAI]]/Indicadores[[#This Row],[Ventas]])</f>
        <v>3.7397305059623659E-2</v>
      </c>
      <c r="Q541" s="837">
        <f>IFERROR(Indicadores[[#This Row],[Ventas]]/Indicadores[[#This Row],[Activos totales]],0)</f>
        <v>0.83692760799016053</v>
      </c>
    </row>
    <row r="542" spans="1:17" x14ac:dyDescent="0.35">
      <c r="A542" s="13" t="str">
        <f>MID(Indicadores[[#This Row],[CIIU]],2,4)</f>
        <v>2229</v>
      </c>
      <c r="B542" s="13" t="str">
        <f>Indicadores[[#This Row],[CIIU]]&amp;Indicadores[[#This Row],[Año]]</f>
        <v>C22292017</v>
      </c>
      <c r="C542" s="14" t="s">
        <v>2279</v>
      </c>
      <c r="D542" s="14" t="s">
        <v>2483</v>
      </c>
      <c r="E542" s="848">
        <v>2017</v>
      </c>
      <c r="F542" s="849" t="s">
        <v>2495</v>
      </c>
      <c r="G542" s="693" t="s">
        <v>2496</v>
      </c>
      <c r="H542" s="848" t="s">
        <v>2497</v>
      </c>
      <c r="I542" s="693" t="s">
        <v>2496</v>
      </c>
      <c r="J542" s="847">
        <v>367296670</v>
      </c>
      <c r="K542" s="847">
        <v>775911952</v>
      </c>
      <c r="L542" s="841">
        <v>7156149601</v>
      </c>
      <c r="M542" s="847">
        <v>6016564785</v>
      </c>
      <c r="N542" s="839">
        <f>Indicadores[[#This Row],[Ventas]]/Indicadores[[#This Row],[Activos totales]]</f>
        <v>0.84075447279068138</v>
      </c>
      <c r="O542" s="837">
        <f>IF(Indicadores[[#This Row],[Ventas]]=0,0,Indicadores[[#This Row],[EBITDA]]/Indicadores[[#This Row],[Ventas]])</f>
        <v>0.12896261899056408</v>
      </c>
      <c r="P542" s="837">
        <f>IF(Indicadores[[#This Row],[Ventas]]=0,0,Indicadores[[#This Row],[UAI]]/Indicadores[[#This Row],[Ventas]])</f>
        <v>6.1047571683382117E-2</v>
      </c>
      <c r="Q542" s="837">
        <f>IFERROR(Indicadores[[#This Row],[Ventas]]/Indicadores[[#This Row],[Activos totales]],0)</f>
        <v>0.84075447279068138</v>
      </c>
    </row>
    <row r="543" spans="1:17" x14ac:dyDescent="0.35">
      <c r="A543" s="13" t="str">
        <f>MID(Indicadores[[#This Row],[CIIU]],2,4)</f>
        <v>2310</v>
      </c>
      <c r="B543" s="13" t="str">
        <f>Indicadores[[#This Row],[CIIU]]&amp;Indicadores[[#This Row],[Año]]</f>
        <v>C23102017</v>
      </c>
      <c r="C543" s="14" t="s">
        <v>2279</v>
      </c>
      <c r="D543" s="14" t="s">
        <v>2498</v>
      </c>
      <c r="E543" s="848">
        <v>2017</v>
      </c>
      <c r="F543" s="849" t="s">
        <v>2499</v>
      </c>
      <c r="G543" s="693" t="s">
        <v>2500</v>
      </c>
      <c r="H543" s="848" t="s">
        <v>2501</v>
      </c>
      <c r="I543" s="693" t="s">
        <v>2500</v>
      </c>
      <c r="J543" s="847">
        <v>253040893</v>
      </c>
      <c r="K543" s="847">
        <v>430645047</v>
      </c>
      <c r="L543" s="841">
        <v>3063666344</v>
      </c>
      <c r="M543" s="847">
        <v>2217301148</v>
      </c>
      <c r="N543" s="839">
        <f>Indicadores[[#This Row],[Ventas]]/Indicadores[[#This Row],[Activos totales]]</f>
        <v>0.7237410667589329</v>
      </c>
      <c r="O543" s="837">
        <f>IF(Indicadores[[#This Row],[Ventas]]=0,0,Indicadores[[#This Row],[EBITDA]]/Indicadores[[#This Row],[Ventas]])</f>
        <v>0.19422036893294389</v>
      </c>
      <c r="P543" s="837">
        <f>IF(Indicadores[[#This Row],[Ventas]]=0,0,Indicadores[[#This Row],[UAI]]/Indicadores[[#This Row],[Ventas]])</f>
        <v>0.11412112117843905</v>
      </c>
      <c r="Q543" s="837">
        <f>IFERROR(Indicadores[[#This Row],[Ventas]]/Indicadores[[#This Row],[Activos totales]],0)</f>
        <v>0.7237410667589329</v>
      </c>
    </row>
    <row r="544" spans="1:17" x14ac:dyDescent="0.35">
      <c r="A544" s="13" t="str">
        <f>MID(Indicadores[[#This Row],[CIIU]],2,4)</f>
        <v>2391</v>
      </c>
      <c r="B544" s="13" t="str">
        <f>Indicadores[[#This Row],[CIIU]]&amp;Indicadores[[#This Row],[Año]]</f>
        <v>C23912017</v>
      </c>
      <c r="C544" s="14" t="s">
        <v>2279</v>
      </c>
      <c r="D544" s="14" t="s">
        <v>2498</v>
      </c>
      <c r="E544" s="848">
        <v>2017</v>
      </c>
      <c r="F544" s="849" t="s">
        <v>2502</v>
      </c>
      <c r="G544" s="693" t="s">
        <v>2503</v>
      </c>
      <c r="H544" s="848" t="s">
        <v>2504</v>
      </c>
      <c r="I544" s="693" t="s">
        <v>2503</v>
      </c>
      <c r="J544" s="847">
        <v>5312770</v>
      </c>
      <c r="K544" s="847">
        <v>4120205</v>
      </c>
      <c r="L544" s="841">
        <v>66797204</v>
      </c>
      <c r="M544" s="847">
        <v>34673327</v>
      </c>
      <c r="N544" s="839">
        <f>Indicadores[[#This Row],[Ventas]]/Indicadores[[#This Row],[Activos totales]]</f>
        <v>0.51908350834564876</v>
      </c>
      <c r="O544" s="837">
        <f>IF(Indicadores[[#This Row],[Ventas]]=0,0,Indicadores[[#This Row],[EBITDA]]/Indicadores[[#This Row],[Ventas]])</f>
        <v>0.11882923724048748</v>
      </c>
      <c r="P544" s="837">
        <f>IF(Indicadores[[#This Row],[Ventas]]=0,0,Indicadores[[#This Row],[UAI]]/Indicadores[[#This Row],[Ventas]])</f>
        <v>0.15322354269609029</v>
      </c>
      <c r="Q544" s="837">
        <f>IFERROR(Indicadores[[#This Row],[Ventas]]/Indicadores[[#This Row],[Activos totales]],0)</f>
        <v>0.51908350834564876</v>
      </c>
    </row>
    <row r="545" spans="1:17" x14ac:dyDescent="0.35">
      <c r="A545" s="13" t="str">
        <f>MID(Indicadores[[#This Row],[CIIU]],2,4)</f>
        <v>2392</v>
      </c>
      <c r="B545" s="13" t="str">
        <f>Indicadores[[#This Row],[CIIU]]&amp;Indicadores[[#This Row],[Año]]</f>
        <v>C23922017</v>
      </c>
      <c r="C545" s="14" t="s">
        <v>2279</v>
      </c>
      <c r="D545" s="14" t="s">
        <v>2498</v>
      </c>
      <c r="E545" s="848">
        <v>2017</v>
      </c>
      <c r="F545" s="849" t="s">
        <v>2505</v>
      </c>
      <c r="G545" s="693" t="s">
        <v>2506</v>
      </c>
      <c r="H545" s="848" t="s">
        <v>2507</v>
      </c>
      <c r="I545" s="693" t="s">
        <v>2506</v>
      </c>
      <c r="J545" s="847">
        <v>23989321</v>
      </c>
      <c r="K545" s="847">
        <v>131747305</v>
      </c>
      <c r="L545" s="841">
        <v>2300190702</v>
      </c>
      <c r="M545" s="847">
        <v>1374466676</v>
      </c>
      <c r="N545" s="839">
        <f>Indicadores[[#This Row],[Ventas]]/Indicadores[[#This Row],[Activos totales]]</f>
        <v>0.59754466219036129</v>
      </c>
      <c r="O545" s="837">
        <f>IF(Indicadores[[#This Row],[Ventas]]=0,0,Indicadores[[#This Row],[EBITDA]]/Indicadores[[#This Row],[Ventas]])</f>
        <v>9.5853400668405878E-2</v>
      </c>
      <c r="P545" s="837">
        <f>IF(Indicadores[[#This Row],[Ventas]]=0,0,Indicadores[[#This Row],[UAI]]/Indicadores[[#This Row],[Ventas]])</f>
        <v>1.7453548651913623E-2</v>
      </c>
      <c r="Q545" s="837">
        <f>IFERROR(Indicadores[[#This Row],[Ventas]]/Indicadores[[#This Row],[Activos totales]],0)</f>
        <v>0.59754466219036129</v>
      </c>
    </row>
    <row r="546" spans="1:17" x14ac:dyDescent="0.35">
      <c r="A546" s="13" t="str">
        <f>MID(Indicadores[[#This Row],[CIIU]],2,4)</f>
        <v>2393</v>
      </c>
      <c r="B546" s="13" t="str">
        <f>Indicadores[[#This Row],[CIIU]]&amp;Indicadores[[#This Row],[Año]]</f>
        <v>C23932017</v>
      </c>
      <c r="C546" s="14" t="s">
        <v>2279</v>
      </c>
      <c r="D546" s="14" t="s">
        <v>2498</v>
      </c>
      <c r="E546" s="848">
        <v>2017</v>
      </c>
      <c r="F546" s="849" t="s">
        <v>2508</v>
      </c>
      <c r="G546" s="838" t="s">
        <v>2509</v>
      </c>
      <c r="H546" s="848" t="s">
        <v>2510</v>
      </c>
      <c r="I546" s="693" t="s">
        <v>2509</v>
      </c>
      <c r="J546" s="847">
        <v>17712233</v>
      </c>
      <c r="K546" s="847">
        <v>119234604</v>
      </c>
      <c r="L546" s="841">
        <v>1492790401</v>
      </c>
      <c r="M546" s="847">
        <v>1244287626</v>
      </c>
      <c r="N546" s="839">
        <f>Indicadores[[#This Row],[Ventas]]/Indicadores[[#This Row],[Activos totales]]</f>
        <v>0.83353136861442079</v>
      </c>
      <c r="O546" s="837">
        <f>IF(Indicadores[[#This Row],[Ventas]]=0,0,Indicadores[[#This Row],[EBITDA]]/Indicadores[[#This Row],[Ventas]])</f>
        <v>9.5825596516861927E-2</v>
      </c>
      <c r="P546" s="837">
        <f>IF(Indicadores[[#This Row],[Ventas]]=0,0,Indicadores[[#This Row],[UAI]]/Indicadores[[#This Row],[Ventas]])</f>
        <v>1.4234838175590762E-2</v>
      </c>
      <c r="Q546" s="837">
        <f>IFERROR(Indicadores[[#This Row],[Ventas]]/Indicadores[[#This Row],[Activos totales]],0)</f>
        <v>0.83353136861442079</v>
      </c>
    </row>
    <row r="547" spans="1:17" x14ac:dyDescent="0.35">
      <c r="A547" s="13" t="str">
        <f>MID(Indicadores[[#This Row],[CIIU]],2,4)</f>
        <v>2394</v>
      </c>
      <c r="B547" s="13" t="str">
        <f>Indicadores[[#This Row],[CIIU]]&amp;Indicadores[[#This Row],[Año]]</f>
        <v>C23942017</v>
      </c>
      <c r="C547" s="14" t="s">
        <v>2279</v>
      </c>
      <c r="D547" s="14" t="s">
        <v>2498</v>
      </c>
      <c r="E547" s="848">
        <v>2017</v>
      </c>
      <c r="F547" s="849" t="s">
        <v>2511</v>
      </c>
      <c r="G547" s="693" t="s">
        <v>2512</v>
      </c>
      <c r="H547" s="848" t="s">
        <v>2513</v>
      </c>
      <c r="I547" s="693" t="s">
        <v>2512</v>
      </c>
      <c r="J547" s="847">
        <v>76221899</v>
      </c>
      <c r="K547" s="847">
        <v>267637501</v>
      </c>
      <c r="L547" s="841">
        <v>4042216941</v>
      </c>
      <c r="M547" s="847">
        <v>1756519216</v>
      </c>
      <c r="N547" s="839">
        <f>Indicadores[[#This Row],[Ventas]]/Indicadores[[#This Row],[Activos totales]]</f>
        <v>0.43454352936471946</v>
      </c>
      <c r="O547" s="837">
        <f>IF(Indicadores[[#This Row],[Ventas]]=0,0,Indicadores[[#This Row],[EBITDA]]/Indicadores[[#This Row],[Ventas]])</f>
        <v>0.15236810309964749</v>
      </c>
      <c r="P547" s="837">
        <f>IF(Indicadores[[#This Row],[Ventas]]=0,0,Indicadores[[#This Row],[UAI]]/Indicadores[[#This Row],[Ventas]])</f>
        <v>4.3393717703569944E-2</v>
      </c>
      <c r="Q547" s="837">
        <f>IFERROR(Indicadores[[#This Row],[Ventas]]/Indicadores[[#This Row],[Activos totales]],0)</f>
        <v>0.43454352936471946</v>
      </c>
    </row>
    <row r="548" spans="1:17" x14ac:dyDescent="0.35">
      <c r="A548" s="13" t="str">
        <f>MID(Indicadores[[#This Row],[CIIU]],2,4)</f>
        <v>2395</v>
      </c>
      <c r="B548" s="13" t="str">
        <f>Indicadores[[#This Row],[CIIU]]&amp;Indicadores[[#This Row],[Año]]</f>
        <v>C23952017</v>
      </c>
      <c r="C548" s="14" t="s">
        <v>2279</v>
      </c>
      <c r="D548" s="14" t="s">
        <v>2498</v>
      </c>
      <c r="E548" s="848">
        <v>2017</v>
      </c>
      <c r="F548" s="849" t="s">
        <v>2514</v>
      </c>
      <c r="G548" s="693" t="s">
        <v>2515</v>
      </c>
      <c r="H548" s="848" t="s">
        <v>2516</v>
      </c>
      <c r="I548" s="693" t="s">
        <v>2515</v>
      </c>
      <c r="J548" s="847">
        <v>69181253</v>
      </c>
      <c r="K548" s="847">
        <v>147898406</v>
      </c>
      <c r="L548" s="841">
        <v>1807247516</v>
      </c>
      <c r="M548" s="847">
        <v>2116830950</v>
      </c>
      <c r="N548" s="839">
        <f>Indicadores[[#This Row],[Ventas]]/Indicadores[[#This Row],[Activos totales]]</f>
        <v>1.1713010704174072</v>
      </c>
      <c r="O548" s="837">
        <f>IF(Indicadores[[#This Row],[Ventas]]=0,0,Indicadores[[#This Row],[EBITDA]]/Indicadores[[#This Row],[Ventas]])</f>
        <v>6.9867839942532969E-2</v>
      </c>
      <c r="P548" s="837">
        <f>IF(Indicadores[[#This Row],[Ventas]]=0,0,Indicadores[[#This Row],[UAI]]/Indicadores[[#This Row],[Ventas]])</f>
        <v>3.2681519986279488E-2</v>
      </c>
      <c r="Q548" s="837">
        <f>IFERROR(Indicadores[[#This Row],[Ventas]]/Indicadores[[#This Row],[Activos totales]],0)</f>
        <v>1.1713010704174072</v>
      </c>
    </row>
    <row r="549" spans="1:17" x14ac:dyDescent="0.35">
      <c r="A549" s="13" t="str">
        <f>MID(Indicadores[[#This Row],[CIIU]],2,4)</f>
        <v>2396</v>
      </c>
      <c r="B549" s="13" t="str">
        <f>Indicadores[[#This Row],[CIIU]]&amp;Indicadores[[#This Row],[Año]]</f>
        <v>C23962017</v>
      </c>
      <c r="C549" s="14" t="s">
        <v>2279</v>
      </c>
      <c r="D549" s="14" t="s">
        <v>2498</v>
      </c>
      <c r="E549" s="848">
        <v>2017</v>
      </c>
      <c r="F549" s="849" t="s">
        <v>2517</v>
      </c>
      <c r="G549" s="838" t="s">
        <v>2518</v>
      </c>
      <c r="H549" s="848" t="s">
        <v>2519</v>
      </c>
      <c r="I549" s="693" t="s">
        <v>2518</v>
      </c>
      <c r="J549" s="847">
        <v>1651327</v>
      </c>
      <c r="K549" s="847">
        <v>2872551</v>
      </c>
      <c r="L549" s="841">
        <v>37061591</v>
      </c>
      <c r="M549" s="847">
        <v>30593866</v>
      </c>
      <c r="N549" s="839">
        <f>Indicadores[[#This Row],[Ventas]]/Indicadores[[#This Row],[Activos totales]]</f>
        <v>0.82548711953569398</v>
      </c>
      <c r="O549" s="837">
        <f>IF(Indicadores[[#This Row],[Ventas]]=0,0,Indicadores[[#This Row],[EBITDA]]/Indicadores[[#This Row],[Ventas]])</f>
        <v>9.3893037251323516E-2</v>
      </c>
      <c r="P549" s="837">
        <f>IF(Indicadores[[#This Row],[Ventas]]=0,0,Indicadores[[#This Row],[UAI]]/Indicadores[[#This Row],[Ventas]])</f>
        <v>5.3975754486209754E-2</v>
      </c>
      <c r="Q549" s="837">
        <f>IFERROR(Indicadores[[#This Row],[Ventas]]/Indicadores[[#This Row],[Activos totales]],0)</f>
        <v>0.82548711953569398</v>
      </c>
    </row>
    <row r="550" spans="1:17" x14ac:dyDescent="0.35">
      <c r="A550" s="13" t="str">
        <f>MID(Indicadores[[#This Row],[CIIU]],2,4)</f>
        <v>2399</v>
      </c>
      <c r="B550" s="13" t="str">
        <f>Indicadores[[#This Row],[CIIU]]&amp;Indicadores[[#This Row],[Año]]</f>
        <v>C23992017</v>
      </c>
      <c r="C550" s="14" t="s">
        <v>2279</v>
      </c>
      <c r="D550" s="14" t="s">
        <v>2498</v>
      </c>
      <c r="E550" s="848">
        <v>2017</v>
      </c>
      <c r="F550" s="849" t="s">
        <v>2520</v>
      </c>
      <c r="G550" s="693" t="s">
        <v>2521</v>
      </c>
      <c r="H550" s="848" t="s">
        <v>2522</v>
      </c>
      <c r="I550" s="693" t="s">
        <v>2521</v>
      </c>
      <c r="J550" s="847">
        <v>22914687</v>
      </c>
      <c r="K550" s="847">
        <v>57203952</v>
      </c>
      <c r="L550" s="841">
        <v>466573079</v>
      </c>
      <c r="M550" s="847">
        <v>303161264</v>
      </c>
      <c r="N550" s="839">
        <f>Indicadores[[#This Row],[Ventas]]/Indicadores[[#This Row],[Activos totales]]</f>
        <v>0.64976158643735205</v>
      </c>
      <c r="O550" s="837">
        <f>IF(Indicadores[[#This Row],[Ventas]]=0,0,Indicadores[[#This Row],[EBITDA]]/Indicadores[[#This Row],[Ventas]])</f>
        <v>0.18869149457036175</v>
      </c>
      <c r="P550" s="837">
        <f>IF(Indicadores[[#This Row],[Ventas]]=0,0,Indicadores[[#This Row],[UAI]]/Indicadores[[#This Row],[Ventas]])</f>
        <v>7.5585801093638397E-2</v>
      </c>
      <c r="Q550" s="837">
        <f>IFERROR(Indicadores[[#This Row],[Ventas]]/Indicadores[[#This Row],[Activos totales]],0)</f>
        <v>0.64976158643735205</v>
      </c>
    </row>
    <row r="551" spans="1:17" x14ac:dyDescent="0.35">
      <c r="A551" s="13" t="str">
        <f>MID(Indicadores[[#This Row],[CIIU]],2,4)</f>
        <v>2410</v>
      </c>
      <c r="B551" s="13" t="str">
        <f>Indicadores[[#This Row],[CIIU]]&amp;Indicadores[[#This Row],[Año]]</f>
        <v>C24102017</v>
      </c>
      <c r="C551" s="14" t="s">
        <v>2279</v>
      </c>
      <c r="D551" s="14" t="s">
        <v>2523</v>
      </c>
      <c r="E551" s="848">
        <v>2017</v>
      </c>
      <c r="F551" s="849" t="s">
        <v>2524</v>
      </c>
      <c r="G551" s="693" t="s">
        <v>2525</v>
      </c>
      <c r="H551" s="848" t="s">
        <v>2526</v>
      </c>
      <c r="I551" s="693" t="s">
        <v>2525</v>
      </c>
      <c r="J551" s="847">
        <v>55507050</v>
      </c>
      <c r="K551" s="847">
        <v>248902845</v>
      </c>
      <c r="L551" s="841">
        <v>3719157094</v>
      </c>
      <c r="M551" s="847">
        <v>3539175841</v>
      </c>
      <c r="N551" s="839">
        <f>Indicadores[[#This Row],[Ventas]]/Indicadores[[#This Row],[Activos totales]]</f>
        <v>0.95160697748144107</v>
      </c>
      <c r="O551" s="837">
        <f>IF(Indicadores[[#This Row],[Ventas]]=0,0,Indicadores[[#This Row],[EBITDA]]/Indicadores[[#This Row],[Ventas]])</f>
        <v>7.0327911407100957E-2</v>
      </c>
      <c r="P551" s="837">
        <f>IF(Indicadores[[#This Row],[Ventas]]=0,0,Indicadores[[#This Row],[UAI]]/Indicadores[[#This Row],[Ventas]])</f>
        <v>1.5683608979517781E-2</v>
      </c>
      <c r="Q551" s="837">
        <f>IFERROR(Indicadores[[#This Row],[Ventas]]/Indicadores[[#This Row],[Activos totales]],0)</f>
        <v>0.95160697748144107</v>
      </c>
    </row>
    <row r="552" spans="1:17" x14ac:dyDescent="0.35">
      <c r="A552" s="13" t="str">
        <f>MID(Indicadores[[#This Row],[CIIU]],2,4)</f>
        <v>2421</v>
      </c>
      <c r="B552" s="13" t="str">
        <f>Indicadores[[#This Row],[CIIU]]&amp;Indicadores[[#This Row],[Año]]</f>
        <v>C24212017</v>
      </c>
      <c r="C552" s="14" t="s">
        <v>2279</v>
      </c>
      <c r="D552" s="14" t="s">
        <v>2523</v>
      </c>
      <c r="E552" s="848">
        <v>2017</v>
      </c>
      <c r="F552" s="849" t="s">
        <v>2527</v>
      </c>
      <c r="G552" s="693" t="s">
        <v>2528</v>
      </c>
      <c r="H552" s="848" t="s">
        <v>2529</v>
      </c>
      <c r="I552" s="693" t="s">
        <v>2528</v>
      </c>
      <c r="J552" s="847">
        <v>1610465</v>
      </c>
      <c r="K552" s="847">
        <v>2537290</v>
      </c>
      <c r="L552" s="841">
        <v>59531934</v>
      </c>
      <c r="M552" s="847">
        <v>257736567</v>
      </c>
      <c r="N552" s="839">
        <f>Indicadores[[#This Row],[Ventas]]/Indicadores[[#This Row],[Activos totales]]</f>
        <v>4.3293834028640834</v>
      </c>
      <c r="O552" s="837">
        <f>IF(Indicadores[[#This Row],[Ventas]]=0,0,Indicadores[[#This Row],[EBITDA]]/Indicadores[[#This Row],[Ventas]])</f>
        <v>9.8445091805696317E-3</v>
      </c>
      <c r="P552" s="837">
        <f>IF(Indicadores[[#This Row],[Ventas]]=0,0,Indicadores[[#This Row],[UAI]]/Indicadores[[#This Row],[Ventas]])</f>
        <v>6.2484924772044474E-3</v>
      </c>
      <c r="Q552" s="837">
        <f>IFERROR(Indicadores[[#This Row],[Ventas]]/Indicadores[[#This Row],[Activos totales]],0)</f>
        <v>4.3293834028640834</v>
      </c>
    </row>
    <row r="553" spans="1:17" x14ac:dyDescent="0.35">
      <c r="A553" s="13" t="str">
        <f>MID(Indicadores[[#This Row],[CIIU]],2,4)</f>
        <v>2429</v>
      </c>
      <c r="B553" s="13" t="str">
        <f>Indicadores[[#This Row],[CIIU]]&amp;Indicadores[[#This Row],[Año]]</f>
        <v>C24292017</v>
      </c>
      <c r="C553" s="14" t="s">
        <v>2279</v>
      </c>
      <c r="D553" s="14" t="s">
        <v>2523</v>
      </c>
      <c r="E553" s="848">
        <v>2017</v>
      </c>
      <c r="F553" s="849" t="s">
        <v>2530</v>
      </c>
      <c r="G553" s="693" t="s">
        <v>2531</v>
      </c>
      <c r="H553" s="848" t="s">
        <v>2532</v>
      </c>
      <c r="I553" s="693" t="s">
        <v>2531</v>
      </c>
      <c r="J553" s="847">
        <v>4074967</v>
      </c>
      <c r="K553" s="847">
        <v>1923563</v>
      </c>
      <c r="L553" s="841">
        <v>91126800</v>
      </c>
      <c r="M553" s="847">
        <v>45478569</v>
      </c>
      <c r="N553" s="839">
        <f>Indicadores[[#This Row],[Ventas]]/Indicadores[[#This Row],[Activos totales]]</f>
        <v>0.49906908834722608</v>
      </c>
      <c r="O553" s="837">
        <f>IF(Indicadores[[#This Row],[Ventas]]=0,0,Indicadores[[#This Row],[EBITDA]]/Indicadores[[#This Row],[Ventas]])</f>
        <v>4.2296031785872594E-2</v>
      </c>
      <c r="P553" s="837">
        <f>IF(Indicadores[[#This Row],[Ventas]]=0,0,Indicadores[[#This Row],[UAI]]/Indicadores[[#This Row],[Ventas]])</f>
        <v>8.9601917773622114E-2</v>
      </c>
      <c r="Q553" s="837">
        <f>IFERROR(Indicadores[[#This Row],[Ventas]]/Indicadores[[#This Row],[Activos totales]],0)</f>
        <v>0.49906908834722608</v>
      </c>
    </row>
    <row r="554" spans="1:17" x14ac:dyDescent="0.35">
      <c r="A554" s="13" t="str">
        <f>MID(Indicadores[[#This Row],[CIIU]],2,4)</f>
        <v>2431</v>
      </c>
      <c r="B554" s="13" t="str">
        <f>Indicadores[[#This Row],[CIIU]]&amp;Indicadores[[#This Row],[Año]]</f>
        <v>C24312017</v>
      </c>
      <c r="C554" s="14" t="s">
        <v>2279</v>
      </c>
      <c r="D554" s="14" t="s">
        <v>2523</v>
      </c>
      <c r="E554" s="848">
        <v>2017</v>
      </c>
      <c r="F554" s="849" t="s">
        <v>2533</v>
      </c>
      <c r="G554" s="693" t="s">
        <v>2534</v>
      </c>
      <c r="H554" s="848" t="s">
        <v>2535</v>
      </c>
      <c r="I554" s="693" t="s">
        <v>2534</v>
      </c>
      <c r="J554" s="847">
        <v>2724675</v>
      </c>
      <c r="K554" s="847">
        <v>10507076</v>
      </c>
      <c r="L554" s="841">
        <v>138508283</v>
      </c>
      <c r="M554" s="847">
        <v>126274712</v>
      </c>
      <c r="N554" s="839">
        <f>Indicadores[[#This Row],[Ventas]]/Indicadores[[#This Row],[Activos totales]]</f>
        <v>0.91167624971569394</v>
      </c>
      <c r="O554" s="837">
        <f>IF(Indicadores[[#This Row],[Ventas]]=0,0,Indicadores[[#This Row],[EBITDA]]/Indicadores[[#This Row],[Ventas]])</f>
        <v>8.3208077322718427E-2</v>
      </c>
      <c r="P554" s="837">
        <f>IF(Indicadores[[#This Row],[Ventas]]=0,0,Indicadores[[#This Row],[UAI]]/Indicadores[[#This Row],[Ventas]])</f>
        <v>2.1577360635754213E-2</v>
      </c>
      <c r="Q554" s="837">
        <f>IFERROR(Indicadores[[#This Row],[Ventas]]/Indicadores[[#This Row],[Activos totales]],0)</f>
        <v>0.91167624971569394</v>
      </c>
    </row>
    <row r="555" spans="1:17" x14ac:dyDescent="0.35">
      <c r="A555" s="13" t="str">
        <f>MID(Indicadores[[#This Row],[CIIU]],2,4)</f>
        <v>2432</v>
      </c>
      <c r="B555" s="13" t="str">
        <f>Indicadores[[#This Row],[CIIU]]&amp;Indicadores[[#This Row],[Año]]</f>
        <v>C24322017</v>
      </c>
      <c r="C555" s="14" t="s">
        <v>2279</v>
      </c>
      <c r="D555" s="14" t="s">
        <v>2523</v>
      </c>
      <c r="E555" s="848">
        <v>2017</v>
      </c>
      <c r="F555" s="849" t="s">
        <v>2536</v>
      </c>
      <c r="G555" s="693" t="s">
        <v>2537</v>
      </c>
      <c r="H555" s="848" t="s">
        <v>2538</v>
      </c>
      <c r="I555" s="693" t="s">
        <v>2539</v>
      </c>
      <c r="J555" s="847">
        <v>18857980</v>
      </c>
      <c r="K555" s="847">
        <v>27506263</v>
      </c>
      <c r="L555" s="841">
        <v>174413458</v>
      </c>
      <c r="M555" s="847">
        <v>843671412</v>
      </c>
      <c r="N555" s="839">
        <f>Indicadores[[#This Row],[Ventas]]/Indicadores[[#This Row],[Activos totales]]</f>
        <v>4.8371921620864828</v>
      </c>
      <c r="O555" s="837">
        <f>IF(Indicadores[[#This Row],[Ventas]]=0,0,Indicadores[[#This Row],[EBITDA]]/Indicadores[[#This Row],[Ventas]])</f>
        <v>3.260305209915066E-2</v>
      </c>
      <c r="P555" s="837">
        <f>IF(Indicadores[[#This Row],[Ventas]]=0,0,Indicadores[[#This Row],[UAI]]/Indicadores[[#This Row],[Ventas]])</f>
        <v>2.2352280439721716E-2</v>
      </c>
      <c r="Q555" s="837">
        <f>IFERROR(Indicadores[[#This Row],[Ventas]]/Indicadores[[#This Row],[Activos totales]],0)</f>
        <v>4.8371921620864828</v>
      </c>
    </row>
    <row r="556" spans="1:17" x14ac:dyDescent="0.35">
      <c r="A556" s="13" t="str">
        <f>MID(Indicadores[[#This Row],[CIIU]],2,4)</f>
        <v>2511</v>
      </c>
      <c r="B556" s="13" t="str">
        <f>Indicadores[[#This Row],[CIIU]]&amp;Indicadores[[#This Row],[Año]]</f>
        <v>C25112017</v>
      </c>
      <c r="C556" s="14" t="s">
        <v>2279</v>
      </c>
      <c r="D556" s="14" t="s">
        <v>2540</v>
      </c>
      <c r="E556" s="848">
        <v>2017</v>
      </c>
      <c r="F556" s="849" t="s">
        <v>2541</v>
      </c>
      <c r="G556" s="693" t="s">
        <v>2542</v>
      </c>
      <c r="H556" s="848" t="s">
        <v>2543</v>
      </c>
      <c r="I556" s="693" t="s">
        <v>2542</v>
      </c>
      <c r="J556" s="847">
        <v>19803530</v>
      </c>
      <c r="K556" s="847">
        <v>121351856</v>
      </c>
      <c r="L556" s="841">
        <v>1895291993</v>
      </c>
      <c r="M556" s="847">
        <v>1515012911</v>
      </c>
      <c r="N556" s="839">
        <f>Indicadores[[#This Row],[Ventas]]/Indicadores[[#This Row],[Activos totales]]</f>
        <v>0.79935593913523173</v>
      </c>
      <c r="O556" s="837">
        <f>IF(Indicadores[[#This Row],[Ventas]]=0,0,Indicadores[[#This Row],[EBITDA]]/Indicadores[[#This Row],[Ventas]])</f>
        <v>8.0099552366125024E-2</v>
      </c>
      <c r="P556" s="837">
        <f>IF(Indicadores[[#This Row],[Ventas]]=0,0,Indicadores[[#This Row],[UAI]]/Indicadores[[#This Row],[Ventas]])</f>
        <v>1.3071525566688719E-2</v>
      </c>
      <c r="Q556" s="837">
        <f>IFERROR(Indicadores[[#This Row],[Ventas]]/Indicadores[[#This Row],[Activos totales]],0)</f>
        <v>0.79935593913523173</v>
      </c>
    </row>
    <row r="557" spans="1:17" x14ac:dyDescent="0.35">
      <c r="A557" s="13" t="str">
        <f>MID(Indicadores[[#This Row],[CIIU]],2,4)</f>
        <v>2512</v>
      </c>
      <c r="B557" s="13" t="str">
        <f>Indicadores[[#This Row],[CIIU]]&amp;Indicadores[[#This Row],[Año]]</f>
        <v>C25122017</v>
      </c>
      <c r="C557" s="14" t="s">
        <v>2279</v>
      </c>
      <c r="D557" s="14" t="s">
        <v>2540</v>
      </c>
      <c r="E557" s="848">
        <v>2017</v>
      </c>
      <c r="F557" s="849" t="s">
        <v>2544</v>
      </c>
      <c r="G557" s="693" t="s">
        <v>2545</v>
      </c>
      <c r="H557" s="848" t="s">
        <v>2546</v>
      </c>
      <c r="I557" s="693" t="s">
        <v>2545</v>
      </c>
      <c r="J557" s="847">
        <v>159989</v>
      </c>
      <c r="K557" s="847">
        <v>4441584</v>
      </c>
      <c r="L557" s="841">
        <v>158783779</v>
      </c>
      <c r="M557" s="847">
        <v>50720886</v>
      </c>
      <c r="N557" s="839">
        <f>Indicadores[[#This Row],[Ventas]]/Indicadores[[#This Row],[Activos totales]]</f>
        <v>0.31943367464506561</v>
      </c>
      <c r="O557" s="837">
        <f>IF(Indicadores[[#This Row],[Ventas]]=0,0,Indicadores[[#This Row],[EBITDA]]/Indicadores[[#This Row],[Ventas]])</f>
        <v>8.7569132763177682E-2</v>
      </c>
      <c r="P557" s="837">
        <f>IF(Indicadores[[#This Row],[Ventas]]=0,0,Indicadores[[#This Row],[UAI]]/Indicadores[[#This Row],[Ventas]])</f>
        <v>3.1543021547375968E-3</v>
      </c>
      <c r="Q557" s="837">
        <f>IFERROR(Indicadores[[#This Row],[Ventas]]/Indicadores[[#This Row],[Activos totales]],0)</f>
        <v>0.31943367464506561</v>
      </c>
    </row>
    <row r="558" spans="1:17" x14ac:dyDescent="0.35">
      <c r="A558" s="13" t="str">
        <f>MID(Indicadores[[#This Row],[CIIU]],2,4)</f>
        <v>2513</v>
      </c>
      <c r="B558" s="13" t="str">
        <f>Indicadores[[#This Row],[CIIU]]&amp;Indicadores[[#This Row],[Año]]</f>
        <v>C25132017</v>
      </c>
      <c r="C558" s="14" t="s">
        <v>2279</v>
      </c>
      <c r="D558" s="14" t="s">
        <v>2540</v>
      </c>
      <c r="E558" s="848">
        <v>2017</v>
      </c>
      <c r="F558" s="849" t="s">
        <v>2547</v>
      </c>
      <c r="G558" s="693" t="s">
        <v>2548</v>
      </c>
      <c r="H558" s="848" t="s">
        <v>2549</v>
      </c>
      <c r="I558" s="693" t="s">
        <v>2548</v>
      </c>
      <c r="J558" s="847">
        <v>2026847</v>
      </c>
      <c r="K558" s="847">
        <v>3067188</v>
      </c>
      <c r="L558" s="841">
        <v>19390643</v>
      </c>
      <c r="M558" s="847">
        <v>22151745</v>
      </c>
      <c r="N558" s="839">
        <f>Indicadores[[#This Row],[Ventas]]/Indicadores[[#This Row],[Activos totales]]</f>
        <v>1.1423935245468653</v>
      </c>
      <c r="O558" s="837">
        <f>IF(Indicadores[[#This Row],[Ventas]]=0,0,Indicadores[[#This Row],[EBITDA]]/Indicadores[[#This Row],[Ventas]])</f>
        <v>0.13846259064466479</v>
      </c>
      <c r="P558" s="837">
        <f>IF(Indicadores[[#This Row],[Ventas]]=0,0,Indicadores[[#This Row],[UAI]]/Indicadores[[#This Row],[Ventas]])</f>
        <v>9.1498299569627586E-2</v>
      </c>
      <c r="Q558" s="837">
        <f>IFERROR(Indicadores[[#This Row],[Ventas]]/Indicadores[[#This Row],[Activos totales]],0)</f>
        <v>1.1423935245468653</v>
      </c>
    </row>
    <row r="559" spans="1:17" x14ac:dyDescent="0.35">
      <c r="A559" s="13" t="str">
        <f>MID(Indicadores[[#This Row],[CIIU]],2,4)</f>
        <v>2520</v>
      </c>
      <c r="B559" s="13" t="str">
        <f>Indicadores[[#This Row],[CIIU]]&amp;Indicadores[[#This Row],[Año]]</f>
        <v>C25202017</v>
      </c>
      <c r="C559" s="14" t="s">
        <v>2279</v>
      </c>
      <c r="D559" s="14" t="s">
        <v>2540</v>
      </c>
      <c r="E559" s="848">
        <v>2017</v>
      </c>
      <c r="F559" s="849" t="s">
        <v>2550</v>
      </c>
      <c r="G559" s="838" t="e">
        <v>#N/A</v>
      </c>
      <c r="H559" s="848" t="s">
        <v>2551</v>
      </c>
      <c r="I559" s="693" t="s">
        <v>2552</v>
      </c>
      <c r="J559" s="847">
        <v>-411182</v>
      </c>
      <c r="K559" s="847">
        <v>-358656</v>
      </c>
      <c r="L559" s="841">
        <v>27577245</v>
      </c>
      <c r="M559" s="847">
        <v>12626</v>
      </c>
      <c r="N559" s="839">
        <f>Indicadores[[#This Row],[Ventas]]/Indicadores[[#This Row],[Activos totales]]</f>
        <v>4.5784123831078848E-4</v>
      </c>
      <c r="O559" s="837">
        <f>IF(Indicadores[[#This Row],[Ventas]]=0,0,Indicadores[[#This Row],[EBITDA]]/Indicadores[[#This Row],[Ventas]])</f>
        <v>-28.406146047837794</v>
      </c>
      <c r="P559" s="837">
        <f>IF(Indicadores[[#This Row],[Ventas]]=0,0,Indicadores[[#This Row],[UAI]]/Indicadores[[#This Row],[Ventas]])</f>
        <v>-32.566291778869001</v>
      </c>
      <c r="Q559" s="837">
        <f>IFERROR(Indicadores[[#This Row],[Ventas]]/Indicadores[[#This Row],[Activos totales]],0)</f>
        <v>4.5784123831078848E-4</v>
      </c>
    </row>
    <row r="560" spans="1:17" x14ac:dyDescent="0.35">
      <c r="A560" s="13" t="str">
        <f>MID(Indicadores[[#This Row],[CIIU]],2,4)</f>
        <v>2591</v>
      </c>
      <c r="B560" s="13" t="str">
        <f>Indicadores[[#This Row],[CIIU]]&amp;Indicadores[[#This Row],[Año]]</f>
        <v>C25912017</v>
      </c>
      <c r="C560" s="14" t="s">
        <v>2279</v>
      </c>
      <c r="D560" s="14" t="s">
        <v>2540</v>
      </c>
      <c r="E560" s="848">
        <v>2017</v>
      </c>
      <c r="F560" s="849" t="s">
        <v>2553</v>
      </c>
      <c r="G560" s="693" t="s">
        <v>2554</v>
      </c>
      <c r="H560" s="848" t="s">
        <v>2555</v>
      </c>
      <c r="I560" s="693" t="s">
        <v>2554</v>
      </c>
      <c r="J560" s="847">
        <v>1326108</v>
      </c>
      <c r="K560" s="847">
        <v>3421979</v>
      </c>
      <c r="L560" s="841">
        <v>80159616</v>
      </c>
      <c r="M560" s="847">
        <v>75740862</v>
      </c>
      <c r="N560" s="839">
        <f>Indicadores[[#This Row],[Ventas]]/Indicadores[[#This Row],[Activos totales]]</f>
        <v>0.94487555928411637</v>
      </c>
      <c r="O560" s="837">
        <f>IF(Indicadores[[#This Row],[Ventas]]=0,0,Indicadores[[#This Row],[EBITDA]]/Indicadores[[#This Row],[Ventas]])</f>
        <v>4.5180090503855103E-2</v>
      </c>
      <c r="P560" s="837">
        <f>IF(Indicadores[[#This Row],[Ventas]]=0,0,Indicadores[[#This Row],[UAI]]/Indicadores[[#This Row],[Ventas]])</f>
        <v>1.7508488350713516E-2</v>
      </c>
      <c r="Q560" s="837">
        <f>IFERROR(Indicadores[[#This Row],[Ventas]]/Indicadores[[#This Row],[Activos totales]],0)</f>
        <v>0.94487555928411637</v>
      </c>
    </row>
    <row r="561" spans="1:17" x14ac:dyDescent="0.35">
      <c r="A561" s="13" t="str">
        <f>MID(Indicadores[[#This Row],[CIIU]],2,4)</f>
        <v>2592</v>
      </c>
      <c r="B561" s="13" t="str">
        <f>Indicadores[[#This Row],[CIIU]]&amp;Indicadores[[#This Row],[Año]]</f>
        <v>C25922017</v>
      </c>
      <c r="C561" s="14" t="s">
        <v>2279</v>
      </c>
      <c r="D561" s="14" t="s">
        <v>2540</v>
      </c>
      <c r="E561" s="848">
        <v>2017</v>
      </c>
      <c r="F561" s="849" t="s">
        <v>2556</v>
      </c>
      <c r="G561" s="693" t="s">
        <v>2557</v>
      </c>
      <c r="H561" s="848" t="s">
        <v>2558</v>
      </c>
      <c r="I561" s="693" t="s">
        <v>2557</v>
      </c>
      <c r="J561" s="847">
        <v>4253962</v>
      </c>
      <c r="K561" s="847">
        <v>41299467</v>
      </c>
      <c r="L561" s="841">
        <v>1070606669</v>
      </c>
      <c r="M561" s="847">
        <v>787694135</v>
      </c>
      <c r="N561" s="839">
        <f>Indicadores[[#This Row],[Ventas]]/Indicadores[[#This Row],[Activos totales]]</f>
        <v>0.73574558968117165</v>
      </c>
      <c r="O561" s="837">
        <f>IF(Indicadores[[#This Row],[Ventas]]=0,0,Indicadores[[#This Row],[EBITDA]]/Indicadores[[#This Row],[Ventas]])</f>
        <v>5.2430842334505894E-2</v>
      </c>
      <c r="P561" s="837">
        <f>IF(Indicadores[[#This Row],[Ventas]]=0,0,Indicadores[[#This Row],[UAI]]/Indicadores[[#This Row],[Ventas]])</f>
        <v>5.4005251670434231E-3</v>
      </c>
      <c r="Q561" s="837">
        <f>IFERROR(Indicadores[[#This Row],[Ventas]]/Indicadores[[#This Row],[Activos totales]],0)</f>
        <v>0.73574558968117165</v>
      </c>
    </row>
    <row r="562" spans="1:17" x14ac:dyDescent="0.35">
      <c r="A562" s="13" t="str">
        <f>MID(Indicadores[[#This Row],[CIIU]],2,4)</f>
        <v>2593</v>
      </c>
      <c r="B562" s="13" t="str">
        <f>Indicadores[[#This Row],[CIIU]]&amp;Indicadores[[#This Row],[Año]]</f>
        <v>C25932017</v>
      </c>
      <c r="C562" s="14" t="s">
        <v>2279</v>
      </c>
      <c r="D562" s="14" t="s">
        <v>2540</v>
      </c>
      <c r="E562" s="848">
        <v>2017</v>
      </c>
      <c r="F562" s="849" t="s">
        <v>2559</v>
      </c>
      <c r="G562" s="693" t="s">
        <v>2560</v>
      </c>
      <c r="H562" s="848" t="s">
        <v>2561</v>
      </c>
      <c r="I562" s="693" t="s">
        <v>2560</v>
      </c>
      <c r="J562" s="847">
        <v>30962695</v>
      </c>
      <c r="K562" s="847">
        <v>40706443</v>
      </c>
      <c r="L562" s="841">
        <v>359808677</v>
      </c>
      <c r="M562" s="847">
        <v>422836653</v>
      </c>
      <c r="N562" s="839">
        <f>Indicadores[[#This Row],[Ventas]]/Indicadores[[#This Row],[Activos totales]]</f>
        <v>1.1751708061226105</v>
      </c>
      <c r="O562" s="837">
        <f>IF(Indicadores[[#This Row],[Ventas]]=0,0,Indicadores[[#This Row],[EBITDA]]/Indicadores[[#This Row],[Ventas]])</f>
        <v>9.6269901653960918E-2</v>
      </c>
      <c r="P562" s="837">
        <f>IF(Indicadores[[#This Row],[Ventas]]=0,0,Indicadores[[#This Row],[UAI]]/Indicadores[[#This Row],[Ventas]])</f>
        <v>7.3226137753956727E-2</v>
      </c>
      <c r="Q562" s="837">
        <f>IFERROR(Indicadores[[#This Row],[Ventas]]/Indicadores[[#This Row],[Activos totales]],0)</f>
        <v>1.1751708061226105</v>
      </c>
    </row>
    <row r="563" spans="1:17" x14ac:dyDescent="0.35">
      <c r="A563" s="13" t="str">
        <f>MID(Indicadores[[#This Row],[CIIU]],2,4)</f>
        <v>2599</v>
      </c>
      <c r="B563" s="13" t="str">
        <f>Indicadores[[#This Row],[CIIU]]&amp;Indicadores[[#This Row],[Año]]</f>
        <v>C25992017</v>
      </c>
      <c r="C563" s="14" t="s">
        <v>2279</v>
      </c>
      <c r="D563" s="14" t="s">
        <v>2540</v>
      </c>
      <c r="E563" s="848">
        <v>2017</v>
      </c>
      <c r="F563" s="849" t="s">
        <v>2562</v>
      </c>
      <c r="G563" s="693" t="s">
        <v>2563</v>
      </c>
      <c r="H563" s="848" t="s">
        <v>2564</v>
      </c>
      <c r="I563" s="693" t="s">
        <v>2563</v>
      </c>
      <c r="J563" s="847">
        <v>179061639</v>
      </c>
      <c r="K563" s="847">
        <v>376911338</v>
      </c>
      <c r="L563" s="841">
        <v>4223832595</v>
      </c>
      <c r="M563" s="847">
        <v>3292839891</v>
      </c>
      <c r="N563" s="839">
        <f>Indicadores[[#This Row],[Ventas]]/Indicadores[[#This Row],[Activos totales]]</f>
        <v>0.77958579487689195</v>
      </c>
      <c r="O563" s="837">
        <f>IF(Indicadores[[#This Row],[Ventas]]=0,0,Indicadores[[#This Row],[EBITDA]]/Indicadores[[#This Row],[Ventas]])</f>
        <v>0.11446391275511913</v>
      </c>
      <c r="P563" s="837">
        <f>IF(Indicadores[[#This Row],[Ventas]]=0,0,Indicadores[[#This Row],[UAI]]/Indicadores[[#This Row],[Ventas]])</f>
        <v>5.4379090671675782E-2</v>
      </c>
      <c r="Q563" s="837">
        <f>IFERROR(Indicadores[[#This Row],[Ventas]]/Indicadores[[#This Row],[Activos totales]],0)</f>
        <v>0.77958579487689195</v>
      </c>
    </row>
    <row r="564" spans="1:17" x14ac:dyDescent="0.35">
      <c r="A564" s="13" t="str">
        <f>MID(Indicadores[[#This Row],[CIIU]],2,4)</f>
        <v>2610</v>
      </c>
      <c r="B564" s="13" t="str">
        <f>Indicadores[[#This Row],[CIIU]]&amp;Indicadores[[#This Row],[Año]]</f>
        <v>C26102017</v>
      </c>
      <c r="C564" s="14" t="s">
        <v>2279</v>
      </c>
      <c r="D564" s="14" t="s">
        <v>2565</v>
      </c>
      <c r="E564" s="848">
        <v>2017</v>
      </c>
      <c r="F564" s="849" t="s">
        <v>2566</v>
      </c>
      <c r="G564" s="693" t="s">
        <v>2567</v>
      </c>
      <c r="H564" s="848" t="s">
        <v>2568</v>
      </c>
      <c r="I564" s="693" t="s">
        <v>2567</v>
      </c>
      <c r="J564" s="847">
        <v>205610</v>
      </c>
      <c r="K564" s="847">
        <v>1403784</v>
      </c>
      <c r="L564" s="841">
        <v>11595571</v>
      </c>
      <c r="M564" s="847">
        <v>11294615</v>
      </c>
      <c r="N564" s="839">
        <f>Indicadores[[#This Row],[Ventas]]/Indicadores[[#This Row],[Activos totales]]</f>
        <v>0.97404560758586189</v>
      </c>
      <c r="O564" s="837">
        <f>IF(Indicadores[[#This Row],[Ventas]]=0,0,Indicadores[[#This Row],[EBITDA]]/Indicadores[[#This Row],[Ventas]])</f>
        <v>0.124287901800991</v>
      </c>
      <c r="P564" s="837">
        <f>IF(Indicadores[[#This Row],[Ventas]]=0,0,Indicadores[[#This Row],[UAI]]/Indicadores[[#This Row],[Ventas]])</f>
        <v>1.8204250432617669E-2</v>
      </c>
      <c r="Q564" s="837">
        <f>IFERROR(Indicadores[[#This Row],[Ventas]]/Indicadores[[#This Row],[Activos totales]],0)</f>
        <v>0.97404560758586189</v>
      </c>
    </row>
    <row r="565" spans="1:17" x14ac:dyDescent="0.35">
      <c r="A565" s="13" t="str">
        <f>MID(Indicadores[[#This Row],[CIIU]],2,4)</f>
        <v>2620</v>
      </c>
      <c r="B565" s="13" t="str">
        <f>Indicadores[[#This Row],[CIIU]]&amp;Indicadores[[#This Row],[Año]]</f>
        <v>C26202017</v>
      </c>
      <c r="C565" s="14" t="s">
        <v>2279</v>
      </c>
      <c r="D565" s="14" t="s">
        <v>2565</v>
      </c>
      <c r="E565" s="848">
        <v>2017</v>
      </c>
      <c r="F565" s="849" t="s">
        <v>2569</v>
      </c>
      <c r="G565" s="693" t="s">
        <v>2570</v>
      </c>
      <c r="H565" s="848" t="s">
        <v>2571</v>
      </c>
      <c r="I565" s="693" t="s">
        <v>2570</v>
      </c>
      <c r="J565" s="847">
        <v>983632</v>
      </c>
      <c r="K565" s="847">
        <v>1429965</v>
      </c>
      <c r="L565" s="841">
        <v>60873909</v>
      </c>
      <c r="M565" s="847">
        <v>68148372</v>
      </c>
      <c r="N565" s="839">
        <f>Indicadores[[#This Row],[Ventas]]/Indicadores[[#This Row],[Activos totales]]</f>
        <v>1.1195005071877346</v>
      </c>
      <c r="O565" s="837">
        <f>IF(Indicadores[[#This Row],[Ventas]]=0,0,Indicadores[[#This Row],[EBITDA]]/Indicadores[[#This Row],[Ventas]])</f>
        <v>2.0983113140252273E-2</v>
      </c>
      <c r="P565" s="837">
        <f>IF(Indicadores[[#This Row],[Ventas]]=0,0,Indicadores[[#This Row],[UAI]]/Indicadores[[#This Row],[Ventas]])</f>
        <v>1.4433683023271634E-2</v>
      </c>
      <c r="Q565" s="837">
        <f>IFERROR(Indicadores[[#This Row],[Ventas]]/Indicadores[[#This Row],[Activos totales]],0)</f>
        <v>1.1195005071877346</v>
      </c>
    </row>
    <row r="566" spans="1:17" x14ac:dyDescent="0.35">
      <c r="A566" s="13" t="str">
        <f>MID(Indicadores[[#This Row],[CIIU]],2,4)</f>
        <v>2651</v>
      </c>
      <c r="B566" s="13" t="str">
        <f>Indicadores[[#This Row],[CIIU]]&amp;Indicadores[[#This Row],[Año]]</f>
        <v>C26512017</v>
      </c>
      <c r="C566" s="14" t="s">
        <v>2279</v>
      </c>
      <c r="D566" s="14" t="s">
        <v>2565</v>
      </c>
      <c r="E566" s="848">
        <v>2017</v>
      </c>
      <c r="F566" s="849" t="s">
        <v>2572</v>
      </c>
      <c r="G566" s="693" t="s">
        <v>2573</v>
      </c>
      <c r="H566" s="848" t="s">
        <v>2574</v>
      </c>
      <c r="I566" s="693" t="s">
        <v>2573</v>
      </c>
      <c r="J566" s="847">
        <v>9647387</v>
      </c>
      <c r="K566" s="847">
        <v>11185808</v>
      </c>
      <c r="L566" s="841">
        <v>53724165</v>
      </c>
      <c r="M566" s="847">
        <v>75468497</v>
      </c>
      <c r="N566" s="839">
        <f>Indicadores[[#This Row],[Ventas]]/Indicadores[[#This Row],[Activos totales]]</f>
        <v>1.404740250499938</v>
      </c>
      <c r="O566" s="837">
        <f>IF(Indicadores[[#This Row],[Ventas]]=0,0,Indicadores[[#This Row],[EBITDA]]/Indicadores[[#This Row],[Ventas]])</f>
        <v>0.14821824263970701</v>
      </c>
      <c r="P566" s="837">
        <f>IF(Indicadores[[#This Row],[Ventas]]=0,0,Indicadores[[#This Row],[UAI]]/Indicadores[[#This Row],[Ventas]])</f>
        <v>0.12783329976745131</v>
      </c>
      <c r="Q566" s="837">
        <f>IFERROR(Indicadores[[#This Row],[Ventas]]/Indicadores[[#This Row],[Activos totales]],0)</f>
        <v>1.404740250499938</v>
      </c>
    </row>
    <row r="567" spans="1:17" x14ac:dyDescent="0.35">
      <c r="A567" s="13" t="str">
        <f>MID(Indicadores[[#This Row],[CIIU]],2,4)</f>
        <v>2660</v>
      </c>
      <c r="B567" s="13" t="str">
        <f>Indicadores[[#This Row],[CIIU]]&amp;Indicadores[[#This Row],[Año]]</f>
        <v>C26602017</v>
      </c>
      <c r="C567" s="14" t="s">
        <v>2279</v>
      </c>
      <c r="D567" s="14" t="s">
        <v>2565</v>
      </c>
      <c r="E567" s="848">
        <v>2017</v>
      </c>
      <c r="F567" s="849" t="s">
        <v>2575</v>
      </c>
      <c r="G567" s="693" t="s">
        <v>2576</v>
      </c>
      <c r="H567" s="848" t="s">
        <v>2577</v>
      </c>
      <c r="I567" s="693" t="s">
        <v>2576</v>
      </c>
      <c r="J567" s="847">
        <v>734752</v>
      </c>
      <c r="K567" s="847">
        <v>734752</v>
      </c>
      <c r="L567" s="841">
        <v>12282523</v>
      </c>
      <c r="M567" s="847">
        <v>7281876</v>
      </c>
      <c r="N567" s="839">
        <f>Indicadores[[#This Row],[Ventas]]/Indicadores[[#This Row],[Activos totales]]</f>
        <v>0.59286483729767903</v>
      </c>
      <c r="O567" s="837">
        <f>IF(Indicadores[[#This Row],[Ventas]]=0,0,Indicadores[[#This Row],[EBITDA]]/Indicadores[[#This Row],[Ventas]])</f>
        <v>0.10090147099456238</v>
      </c>
      <c r="P567" s="837">
        <f>IF(Indicadores[[#This Row],[Ventas]]=0,0,Indicadores[[#This Row],[UAI]]/Indicadores[[#This Row],[Ventas]])</f>
        <v>0.10090147099456238</v>
      </c>
      <c r="Q567" s="837">
        <f>IFERROR(Indicadores[[#This Row],[Ventas]]/Indicadores[[#This Row],[Activos totales]],0)</f>
        <v>0.59286483729767903</v>
      </c>
    </row>
    <row r="568" spans="1:17" x14ac:dyDescent="0.35">
      <c r="A568" s="13" t="str">
        <f>MID(Indicadores[[#This Row],[CIIU]],2,4)</f>
        <v>2711</v>
      </c>
      <c r="B568" s="13" t="str">
        <f>Indicadores[[#This Row],[CIIU]]&amp;Indicadores[[#This Row],[Año]]</f>
        <v>C27112017</v>
      </c>
      <c r="C568" s="14" t="s">
        <v>2279</v>
      </c>
      <c r="D568" s="14" t="s">
        <v>2581</v>
      </c>
      <c r="E568" s="848">
        <v>2017</v>
      </c>
      <c r="F568" s="849" t="s">
        <v>2582</v>
      </c>
      <c r="G568" s="693" t="s">
        <v>2583</v>
      </c>
      <c r="H568" s="848" t="s">
        <v>2584</v>
      </c>
      <c r="I568" s="693" t="s">
        <v>2583</v>
      </c>
      <c r="J568" s="847">
        <v>-1375726</v>
      </c>
      <c r="K568" s="847">
        <v>18238458</v>
      </c>
      <c r="L568" s="841">
        <v>620770702</v>
      </c>
      <c r="M568" s="847">
        <v>676210685</v>
      </c>
      <c r="N568" s="839">
        <f>Indicadores[[#This Row],[Ventas]]/Indicadores[[#This Row],[Activos totales]]</f>
        <v>1.0893083111386916</v>
      </c>
      <c r="O568" s="837">
        <f>IF(Indicadores[[#This Row],[Ventas]]=0,0,Indicadores[[#This Row],[EBITDA]]/Indicadores[[#This Row],[Ventas]])</f>
        <v>2.6971561385487425E-2</v>
      </c>
      <c r="P568" s="837">
        <f>IF(Indicadores[[#This Row],[Ventas]]=0,0,Indicadores[[#This Row],[UAI]]/Indicadores[[#This Row],[Ventas]])</f>
        <v>-2.0344635636746853E-3</v>
      </c>
      <c r="Q568" s="837">
        <f>IFERROR(Indicadores[[#This Row],[Ventas]]/Indicadores[[#This Row],[Activos totales]],0)</f>
        <v>1.0893083111386916</v>
      </c>
    </row>
    <row r="569" spans="1:17" x14ac:dyDescent="0.35">
      <c r="A569" s="13" t="str">
        <f>MID(Indicadores[[#This Row],[CIIU]],2,4)</f>
        <v>2712</v>
      </c>
      <c r="B569" s="13" t="str">
        <f>Indicadores[[#This Row],[CIIU]]&amp;Indicadores[[#This Row],[Año]]</f>
        <v>C27122017</v>
      </c>
      <c r="C569" s="14" t="s">
        <v>2279</v>
      </c>
      <c r="D569" s="14" t="s">
        <v>2581</v>
      </c>
      <c r="E569" s="848">
        <v>2017</v>
      </c>
      <c r="F569" s="849" t="s">
        <v>2585</v>
      </c>
      <c r="G569" s="693" t="s">
        <v>2586</v>
      </c>
      <c r="H569" s="848" t="s">
        <v>2587</v>
      </c>
      <c r="I569" s="693" t="s">
        <v>2586</v>
      </c>
      <c r="J569" s="847">
        <v>5994294</v>
      </c>
      <c r="K569" s="847">
        <v>7720690</v>
      </c>
      <c r="L569" s="841">
        <v>111072630</v>
      </c>
      <c r="M569" s="847">
        <v>110262589</v>
      </c>
      <c r="N569" s="839">
        <f>Indicadores[[#This Row],[Ventas]]/Indicadores[[#This Row],[Activos totales]]</f>
        <v>0.99270710525176187</v>
      </c>
      <c r="O569" s="837">
        <f>IF(Indicadores[[#This Row],[Ventas]]=0,0,Indicadores[[#This Row],[EBITDA]]/Indicadores[[#This Row],[Ventas]])</f>
        <v>7.0020938833569385E-2</v>
      </c>
      <c r="P569" s="837">
        <f>IF(Indicadores[[#This Row],[Ventas]]=0,0,Indicadores[[#This Row],[UAI]]/Indicadores[[#This Row],[Ventas]])</f>
        <v>5.4363806023092744E-2</v>
      </c>
      <c r="Q569" s="837">
        <f>IFERROR(Indicadores[[#This Row],[Ventas]]/Indicadores[[#This Row],[Activos totales]],0)</f>
        <v>0.99270710525176187</v>
      </c>
    </row>
    <row r="570" spans="1:17" x14ac:dyDescent="0.35">
      <c r="A570" s="13" t="str">
        <f>MID(Indicadores[[#This Row],[CIIU]],2,4)</f>
        <v>2720</v>
      </c>
      <c r="B570" s="13" t="str">
        <f>Indicadores[[#This Row],[CIIU]]&amp;Indicadores[[#This Row],[Año]]</f>
        <v>C27202017</v>
      </c>
      <c r="C570" s="14" t="s">
        <v>2279</v>
      </c>
      <c r="D570" s="14" t="s">
        <v>2581</v>
      </c>
      <c r="E570" s="848">
        <v>2017</v>
      </c>
      <c r="F570" s="849" t="s">
        <v>2588</v>
      </c>
      <c r="G570" s="838" t="s">
        <v>2589</v>
      </c>
      <c r="H570" s="848" t="s">
        <v>2590</v>
      </c>
      <c r="I570" s="693" t="s">
        <v>2589</v>
      </c>
      <c r="J570" s="847">
        <v>43594058</v>
      </c>
      <c r="K570" s="847">
        <v>55388329</v>
      </c>
      <c r="L570" s="841">
        <v>751222029</v>
      </c>
      <c r="M570" s="847">
        <v>647985070</v>
      </c>
      <c r="N570" s="839">
        <f>Indicadores[[#This Row],[Ventas]]/Indicadores[[#This Row],[Activos totales]]</f>
        <v>0.86257463836966364</v>
      </c>
      <c r="O570" s="837">
        <f>IF(Indicadores[[#This Row],[Ventas]]=0,0,Indicadores[[#This Row],[EBITDA]]/Indicadores[[#This Row],[Ventas]])</f>
        <v>8.5477785776761794E-2</v>
      </c>
      <c r="P570" s="837">
        <f>IF(Indicadores[[#This Row],[Ventas]]=0,0,Indicadores[[#This Row],[UAI]]/Indicadores[[#This Row],[Ventas]])</f>
        <v>6.7276330919167626E-2</v>
      </c>
      <c r="Q570" s="837">
        <f>IFERROR(Indicadores[[#This Row],[Ventas]]/Indicadores[[#This Row],[Activos totales]],0)</f>
        <v>0.86257463836966364</v>
      </c>
    </row>
    <row r="571" spans="1:17" x14ac:dyDescent="0.35">
      <c r="A571" s="13" t="str">
        <f>MID(Indicadores[[#This Row],[CIIU]],2,4)</f>
        <v>2731</v>
      </c>
      <c r="B571" s="13" t="str">
        <f>Indicadores[[#This Row],[CIIU]]&amp;Indicadores[[#This Row],[Año]]</f>
        <v>C27312017</v>
      </c>
      <c r="C571" s="14" t="s">
        <v>2279</v>
      </c>
      <c r="D571" s="14" t="s">
        <v>2581</v>
      </c>
      <c r="E571" s="848">
        <v>2017</v>
      </c>
      <c r="F571" s="849" t="s">
        <v>2591</v>
      </c>
      <c r="G571" s="693" t="s">
        <v>2592</v>
      </c>
      <c r="H571" s="848" t="s">
        <v>2593</v>
      </c>
      <c r="I571" s="693" t="s">
        <v>2592</v>
      </c>
      <c r="J571" s="847">
        <v>-5484989</v>
      </c>
      <c r="K571" s="847">
        <v>38457247</v>
      </c>
      <c r="L571" s="841">
        <v>815962907</v>
      </c>
      <c r="M571" s="847">
        <v>935000498</v>
      </c>
      <c r="N571" s="839">
        <f>Indicadores[[#This Row],[Ventas]]/Indicadores[[#This Row],[Activos totales]]</f>
        <v>1.1458860322923969</v>
      </c>
      <c r="O571" s="837">
        <f>IF(Indicadores[[#This Row],[Ventas]]=0,0,Indicadores[[#This Row],[EBITDA]]/Indicadores[[#This Row],[Ventas]])</f>
        <v>4.113072354748628E-2</v>
      </c>
      <c r="P571" s="837">
        <f>IF(Indicadores[[#This Row],[Ventas]]=0,0,Indicadores[[#This Row],[UAI]]/Indicadores[[#This Row],[Ventas]])</f>
        <v>-5.8662952712138557E-3</v>
      </c>
      <c r="Q571" s="837">
        <f>IFERROR(Indicadores[[#This Row],[Ventas]]/Indicadores[[#This Row],[Activos totales]],0)</f>
        <v>1.1458860322923969</v>
      </c>
    </row>
    <row r="572" spans="1:17" x14ac:dyDescent="0.35">
      <c r="A572" s="13" t="str">
        <f>MID(Indicadores[[#This Row],[CIIU]],2,4)</f>
        <v>2740</v>
      </c>
      <c r="B572" s="13" t="str">
        <f>Indicadores[[#This Row],[CIIU]]&amp;Indicadores[[#This Row],[Año]]</f>
        <v>C27402017</v>
      </c>
      <c r="C572" s="14" t="s">
        <v>2279</v>
      </c>
      <c r="D572" s="14" t="s">
        <v>2581</v>
      </c>
      <c r="E572" s="848">
        <v>2017</v>
      </c>
      <c r="F572" s="849" t="s">
        <v>2594</v>
      </c>
      <c r="G572" s="693" t="s">
        <v>2595</v>
      </c>
      <c r="H572" s="848" t="s">
        <v>2596</v>
      </c>
      <c r="I572" s="693" t="s">
        <v>2595</v>
      </c>
      <c r="J572" s="847">
        <v>17216206</v>
      </c>
      <c r="K572" s="847">
        <v>28830706</v>
      </c>
      <c r="L572" s="841">
        <v>405642013</v>
      </c>
      <c r="M572" s="847">
        <v>368817665</v>
      </c>
      <c r="N572" s="839">
        <f>Indicadores[[#This Row],[Ventas]]/Indicadores[[#This Row],[Activos totales]]</f>
        <v>0.90921959062460322</v>
      </c>
      <c r="O572" s="837">
        <f>IF(Indicadores[[#This Row],[Ventas]]=0,0,Indicadores[[#This Row],[EBITDA]]/Indicadores[[#This Row],[Ventas]])</f>
        <v>7.817062124722253E-2</v>
      </c>
      <c r="P572" s="837">
        <f>IF(Indicadores[[#This Row],[Ventas]]=0,0,Indicadores[[#This Row],[UAI]]/Indicadores[[#This Row],[Ventas]])</f>
        <v>4.6679450671106008E-2</v>
      </c>
      <c r="Q572" s="837">
        <f>IFERROR(Indicadores[[#This Row],[Ventas]]/Indicadores[[#This Row],[Activos totales]],0)</f>
        <v>0.90921959062460322</v>
      </c>
    </row>
    <row r="573" spans="1:17" x14ac:dyDescent="0.35">
      <c r="A573" s="13" t="str">
        <f>MID(Indicadores[[#This Row],[CIIU]],2,4)</f>
        <v>2750</v>
      </c>
      <c r="B573" s="13" t="str">
        <f>Indicadores[[#This Row],[CIIU]]&amp;Indicadores[[#This Row],[Año]]</f>
        <v>C27502017</v>
      </c>
      <c r="C573" s="14" t="s">
        <v>2279</v>
      </c>
      <c r="D573" s="14" t="s">
        <v>2581</v>
      </c>
      <c r="E573" s="848">
        <v>2017</v>
      </c>
      <c r="F573" s="849" t="s">
        <v>2597</v>
      </c>
      <c r="G573" s="693" t="s">
        <v>2598</v>
      </c>
      <c r="H573" s="848" t="s">
        <v>2599</v>
      </c>
      <c r="I573" s="693" t="s">
        <v>2598</v>
      </c>
      <c r="J573" s="847">
        <v>-8033714</v>
      </c>
      <c r="K573" s="847">
        <v>100059266</v>
      </c>
      <c r="L573" s="841">
        <v>2162637717</v>
      </c>
      <c r="M573" s="847">
        <v>2132654776</v>
      </c>
      <c r="N573" s="839">
        <f>Indicadores[[#This Row],[Ventas]]/Indicadores[[#This Row],[Activos totales]]</f>
        <v>0.986135939106069</v>
      </c>
      <c r="O573" s="837">
        <f>IF(Indicadores[[#This Row],[Ventas]]=0,0,Indicadores[[#This Row],[EBITDA]]/Indicadores[[#This Row],[Ventas]])</f>
        <v>4.6917704227625069E-2</v>
      </c>
      <c r="P573" s="837">
        <f>IF(Indicadores[[#This Row],[Ventas]]=0,0,Indicadores[[#This Row],[UAI]]/Indicadores[[#This Row],[Ventas]])</f>
        <v>-3.7670016218321121E-3</v>
      </c>
      <c r="Q573" s="837">
        <f>IFERROR(Indicadores[[#This Row],[Ventas]]/Indicadores[[#This Row],[Activos totales]],0)</f>
        <v>0.986135939106069</v>
      </c>
    </row>
    <row r="574" spans="1:17" x14ac:dyDescent="0.35">
      <c r="A574" s="13" t="str">
        <f>MID(Indicadores[[#This Row],[CIIU]],2,4)</f>
        <v>2790</v>
      </c>
      <c r="B574" s="13" t="str">
        <f>Indicadores[[#This Row],[CIIU]]&amp;Indicadores[[#This Row],[Año]]</f>
        <v>C27902017</v>
      </c>
      <c r="C574" s="14" t="s">
        <v>2279</v>
      </c>
      <c r="D574" s="14" t="s">
        <v>2581</v>
      </c>
      <c r="E574" s="848">
        <v>2017</v>
      </c>
      <c r="F574" s="849" t="s">
        <v>2600</v>
      </c>
      <c r="G574" s="693" t="s">
        <v>2601</v>
      </c>
      <c r="H574" s="848" t="s">
        <v>2602</v>
      </c>
      <c r="I574" s="693" t="s">
        <v>2601</v>
      </c>
      <c r="J574" s="847">
        <v>2561004</v>
      </c>
      <c r="K574" s="847">
        <v>21431900</v>
      </c>
      <c r="L574" s="841">
        <v>881894517</v>
      </c>
      <c r="M574" s="847">
        <v>1106010371</v>
      </c>
      <c r="N574" s="839">
        <f>Indicadores[[#This Row],[Ventas]]/Indicadores[[#This Row],[Activos totales]]</f>
        <v>1.2541300004476612</v>
      </c>
      <c r="O574" s="837">
        <f>IF(Indicadores[[#This Row],[Ventas]]=0,0,Indicadores[[#This Row],[EBITDA]]/Indicadores[[#This Row],[Ventas]])</f>
        <v>1.9377666396222248E-2</v>
      </c>
      <c r="P574" s="837">
        <f>IF(Indicadores[[#This Row],[Ventas]]=0,0,Indicadores[[#This Row],[UAI]]/Indicadores[[#This Row],[Ventas]])</f>
        <v>2.3155334408704203E-3</v>
      </c>
      <c r="Q574" s="837">
        <f>IFERROR(Indicadores[[#This Row],[Ventas]]/Indicadores[[#This Row],[Activos totales]],0)</f>
        <v>1.2541300004476612</v>
      </c>
    </row>
    <row r="575" spans="1:17" x14ac:dyDescent="0.35">
      <c r="A575" s="13" t="str">
        <f>MID(Indicadores[[#This Row],[CIIU]],2,4)</f>
        <v>2811</v>
      </c>
      <c r="B575" s="13" t="str">
        <f>Indicadores[[#This Row],[CIIU]]&amp;Indicadores[[#This Row],[Año]]</f>
        <v>C28112017</v>
      </c>
      <c r="C575" s="14" t="s">
        <v>2279</v>
      </c>
      <c r="D575" s="14" t="s">
        <v>2603</v>
      </c>
      <c r="E575" s="848">
        <v>2017</v>
      </c>
      <c r="F575" s="849" t="s">
        <v>2604</v>
      </c>
      <c r="G575" s="838" t="e">
        <v>#N/A</v>
      </c>
      <c r="H575" s="848" t="s">
        <v>2605</v>
      </c>
      <c r="I575" s="693" t="s">
        <v>2606</v>
      </c>
      <c r="J575" s="847">
        <v>1321430</v>
      </c>
      <c r="K575" s="847">
        <v>1582661</v>
      </c>
      <c r="L575" s="841">
        <v>13659179</v>
      </c>
      <c r="M575" s="847">
        <v>4693231</v>
      </c>
      <c r="N575" s="839">
        <f>Indicadores[[#This Row],[Ventas]]/Indicadores[[#This Row],[Activos totales]]</f>
        <v>0.34359539471589035</v>
      </c>
      <c r="O575" s="837">
        <f>IF(Indicadores[[#This Row],[Ventas]]=0,0,Indicadores[[#This Row],[EBITDA]]/Indicadores[[#This Row],[Ventas]])</f>
        <v>0.33722205448655734</v>
      </c>
      <c r="P575" s="837">
        <f>IF(Indicadores[[#This Row],[Ventas]]=0,0,Indicadores[[#This Row],[UAI]]/Indicadores[[#This Row],[Ventas]])</f>
        <v>0.28156082664586507</v>
      </c>
      <c r="Q575" s="837">
        <f>IFERROR(Indicadores[[#This Row],[Ventas]]/Indicadores[[#This Row],[Activos totales]],0)</f>
        <v>0.34359539471589035</v>
      </c>
    </row>
    <row r="576" spans="1:17" x14ac:dyDescent="0.35">
      <c r="A576" s="13" t="str">
        <f>MID(Indicadores[[#This Row],[CIIU]],2,4)</f>
        <v>2812</v>
      </c>
      <c r="B576" s="13" t="str">
        <f>Indicadores[[#This Row],[CIIU]]&amp;Indicadores[[#This Row],[Año]]</f>
        <v>C28122017</v>
      </c>
      <c r="C576" s="14" t="s">
        <v>2279</v>
      </c>
      <c r="D576" s="14" t="s">
        <v>2603</v>
      </c>
      <c r="E576" s="848">
        <v>2017</v>
      </c>
      <c r="F576" s="849" t="s">
        <v>2607</v>
      </c>
      <c r="G576" s="693" t="s">
        <v>2608</v>
      </c>
      <c r="H576" s="848" t="s">
        <v>2609</v>
      </c>
      <c r="I576" s="693" t="s">
        <v>2608</v>
      </c>
      <c r="J576" s="847">
        <v>850135</v>
      </c>
      <c r="K576" s="847">
        <v>866533</v>
      </c>
      <c r="L576" s="841">
        <v>6486976</v>
      </c>
      <c r="M576" s="847">
        <v>7923474</v>
      </c>
      <c r="N576" s="839">
        <f>Indicadores[[#This Row],[Ventas]]/Indicadores[[#This Row],[Activos totales]]</f>
        <v>1.2214433967383262</v>
      </c>
      <c r="O576" s="837">
        <f>IF(Indicadores[[#This Row],[Ventas]]=0,0,Indicadores[[#This Row],[EBITDA]]/Indicadores[[#This Row],[Ventas]])</f>
        <v>0.109362761839062</v>
      </c>
      <c r="P576" s="837">
        <f>IF(Indicadores[[#This Row],[Ventas]]=0,0,Indicadores[[#This Row],[UAI]]/Indicadores[[#This Row],[Ventas]])</f>
        <v>0.1072932150720757</v>
      </c>
      <c r="Q576" s="837">
        <f>IFERROR(Indicadores[[#This Row],[Ventas]]/Indicadores[[#This Row],[Activos totales]],0)</f>
        <v>1.2214433967383262</v>
      </c>
    </row>
    <row r="577" spans="1:17" x14ac:dyDescent="0.35">
      <c r="A577" s="13" t="str">
        <f>MID(Indicadores[[#This Row],[CIIU]],2,4)</f>
        <v>2813</v>
      </c>
      <c r="B577" s="13" t="str">
        <f>Indicadores[[#This Row],[CIIU]]&amp;Indicadores[[#This Row],[Año]]</f>
        <v>C28132017</v>
      </c>
      <c r="C577" s="14" t="s">
        <v>2279</v>
      </c>
      <c r="D577" s="14" t="s">
        <v>2603</v>
      </c>
      <c r="E577" s="848">
        <v>2017</v>
      </c>
      <c r="F577" s="849" t="s">
        <v>2610</v>
      </c>
      <c r="G577" s="693" t="s">
        <v>2611</v>
      </c>
      <c r="H577" s="848" t="s">
        <v>2612</v>
      </c>
      <c r="I577" s="693" t="s">
        <v>2611</v>
      </c>
      <c r="J577" s="847">
        <v>25708792</v>
      </c>
      <c r="K577" s="847">
        <v>34148194</v>
      </c>
      <c r="L577" s="841">
        <v>309551474</v>
      </c>
      <c r="M577" s="847">
        <v>250190162</v>
      </c>
      <c r="N577" s="839">
        <f>Indicadores[[#This Row],[Ventas]]/Indicadores[[#This Row],[Activos totales]]</f>
        <v>0.80823443922609139</v>
      </c>
      <c r="O577" s="837">
        <f>IF(Indicadores[[#This Row],[Ventas]]=0,0,Indicadores[[#This Row],[EBITDA]]/Indicadores[[#This Row],[Ventas]])</f>
        <v>0.13648895594863558</v>
      </c>
      <c r="P577" s="837">
        <f>IF(Indicadores[[#This Row],[Ventas]]=0,0,Indicadores[[#This Row],[UAI]]/Indicadores[[#This Row],[Ventas]])</f>
        <v>0.10275700608883254</v>
      </c>
      <c r="Q577" s="837">
        <f>IFERROR(Indicadores[[#This Row],[Ventas]]/Indicadores[[#This Row],[Activos totales]],0)</f>
        <v>0.80823443922609139</v>
      </c>
    </row>
    <row r="578" spans="1:17" x14ac:dyDescent="0.35">
      <c r="A578" s="13" t="str">
        <f>MID(Indicadores[[#This Row],[CIIU]],2,4)</f>
        <v>2815</v>
      </c>
      <c r="B578" s="13" t="str">
        <f>Indicadores[[#This Row],[CIIU]]&amp;Indicadores[[#This Row],[Año]]</f>
        <v>C28152017</v>
      </c>
      <c r="C578" s="14" t="s">
        <v>2279</v>
      </c>
      <c r="D578" s="14" t="s">
        <v>2603</v>
      </c>
      <c r="E578" s="848">
        <v>2017</v>
      </c>
      <c r="F578" s="849" t="s">
        <v>2613</v>
      </c>
      <c r="G578" s="693" t="s">
        <v>2614</v>
      </c>
      <c r="H578" s="848" t="s">
        <v>2615</v>
      </c>
      <c r="I578" s="693" t="s">
        <v>2614</v>
      </c>
      <c r="J578" s="847">
        <v>463551</v>
      </c>
      <c r="K578" s="847">
        <v>915655</v>
      </c>
      <c r="L578" s="841">
        <v>7583513</v>
      </c>
      <c r="M578" s="847">
        <v>7726201</v>
      </c>
      <c r="N578" s="839">
        <f>Indicadores[[#This Row],[Ventas]]/Indicadores[[#This Row],[Activos totales]]</f>
        <v>1.0188155542161001</v>
      </c>
      <c r="O578" s="837">
        <f>IF(Indicadores[[#This Row],[Ventas]]=0,0,Indicadores[[#This Row],[EBITDA]]/Indicadores[[#This Row],[Ventas]])</f>
        <v>0.11851296646307803</v>
      </c>
      <c r="P578" s="837">
        <f>IF(Indicadores[[#This Row],[Ventas]]=0,0,Indicadores[[#This Row],[UAI]]/Indicadores[[#This Row],[Ventas]])</f>
        <v>5.9997274210184283E-2</v>
      </c>
      <c r="Q578" s="837">
        <f>IFERROR(Indicadores[[#This Row],[Ventas]]/Indicadores[[#This Row],[Activos totales]],0)</f>
        <v>1.0188155542161001</v>
      </c>
    </row>
    <row r="579" spans="1:17" x14ac:dyDescent="0.35">
      <c r="A579" s="13" t="str">
        <f>MID(Indicadores[[#This Row],[CIIU]],2,4)</f>
        <v>2816</v>
      </c>
      <c r="B579" s="13" t="str">
        <f>Indicadores[[#This Row],[CIIU]]&amp;Indicadores[[#This Row],[Año]]</f>
        <v>C28162017</v>
      </c>
      <c r="C579" s="14" t="s">
        <v>2279</v>
      </c>
      <c r="D579" s="14" t="s">
        <v>2603</v>
      </c>
      <c r="E579" s="848">
        <v>2017</v>
      </c>
      <c r="F579" s="849" t="s">
        <v>2616</v>
      </c>
      <c r="G579" s="693" t="s">
        <v>2617</v>
      </c>
      <c r="H579" s="848" t="s">
        <v>2618</v>
      </c>
      <c r="I579" s="693" t="s">
        <v>2617</v>
      </c>
      <c r="J579" s="847">
        <v>-65031</v>
      </c>
      <c r="K579" s="847">
        <v>5528025</v>
      </c>
      <c r="L579" s="841">
        <v>143637001</v>
      </c>
      <c r="M579" s="847">
        <v>135534427</v>
      </c>
      <c r="N579" s="839">
        <f>Indicadores[[#This Row],[Ventas]]/Indicadores[[#This Row],[Activos totales]]</f>
        <v>0.94358992499432648</v>
      </c>
      <c r="O579" s="837">
        <f>IF(Indicadores[[#This Row],[Ventas]]=0,0,Indicadores[[#This Row],[EBITDA]]/Indicadores[[#This Row],[Ventas]])</f>
        <v>4.0786869597345919E-2</v>
      </c>
      <c r="P579" s="837">
        <f>IF(Indicadores[[#This Row],[Ventas]]=0,0,Indicadores[[#This Row],[UAI]]/Indicadores[[#This Row],[Ventas]])</f>
        <v>-4.7981167176071066E-4</v>
      </c>
      <c r="Q579" s="837">
        <f>IFERROR(Indicadores[[#This Row],[Ventas]]/Indicadores[[#This Row],[Activos totales]],0)</f>
        <v>0.94358992499432648</v>
      </c>
    </row>
    <row r="580" spans="1:17" x14ac:dyDescent="0.35">
      <c r="A580" s="13" t="str">
        <f>MID(Indicadores[[#This Row],[CIIU]],2,4)</f>
        <v>2819</v>
      </c>
      <c r="B580" s="13" t="str">
        <f>Indicadores[[#This Row],[CIIU]]&amp;Indicadores[[#This Row],[Año]]</f>
        <v>C28192017</v>
      </c>
      <c r="C580" s="14" t="s">
        <v>2279</v>
      </c>
      <c r="D580" s="14" t="s">
        <v>2603</v>
      </c>
      <c r="E580" s="848">
        <v>2017</v>
      </c>
      <c r="F580" s="849" t="s">
        <v>2619</v>
      </c>
      <c r="G580" s="693" t="s">
        <v>2620</v>
      </c>
      <c r="H580" s="848" t="s">
        <v>2621</v>
      </c>
      <c r="I580" s="693" t="s">
        <v>2620</v>
      </c>
      <c r="J580" s="847">
        <v>24592966</v>
      </c>
      <c r="K580" s="847">
        <v>44114283</v>
      </c>
      <c r="L580" s="841">
        <v>591981214</v>
      </c>
      <c r="M580" s="847">
        <v>504383692</v>
      </c>
      <c r="N580" s="839">
        <f>Indicadores[[#This Row],[Ventas]]/Indicadores[[#This Row],[Activos totales]]</f>
        <v>0.85202651717931033</v>
      </c>
      <c r="O580" s="837">
        <f>IF(Indicadores[[#This Row],[Ventas]]=0,0,Indicadores[[#This Row],[EBITDA]]/Indicadores[[#This Row],[Ventas]])</f>
        <v>8.7461755206788089E-2</v>
      </c>
      <c r="P580" s="837">
        <f>IF(Indicadores[[#This Row],[Ventas]]=0,0,Indicadores[[#This Row],[UAI]]/Indicadores[[#This Row],[Ventas]])</f>
        <v>4.8758447963460329E-2</v>
      </c>
      <c r="Q580" s="837">
        <f>IFERROR(Indicadores[[#This Row],[Ventas]]/Indicadores[[#This Row],[Activos totales]],0)</f>
        <v>0.85202651717931033</v>
      </c>
    </row>
    <row r="581" spans="1:17" x14ac:dyDescent="0.35">
      <c r="A581" s="13" t="str">
        <f>MID(Indicadores[[#This Row],[CIIU]],2,4)</f>
        <v>2821</v>
      </c>
      <c r="B581" s="13" t="str">
        <f>Indicadores[[#This Row],[CIIU]]&amp;Indicadores[[#This Row],[Año]]</f>
        <v>C28212017</v>
      </c>
      <c r="C581" s="14" t="s">
        <v>2279</v>
      </c>
      <c r="D581" s="14" t="s">
        <v>2603</v>
      </c>
      <c r="E581" s="848">
        <v>2017</v>
      </c>
      <c r="F581" s="849" t="s">
        <v>2622</v>
      </c>
      <c r="G581" s="693" t="s">
        <v>2623</v>
      </c>
      <c r="H581" s="848" t="s">
        <v>2624</v>
      </c>
      <c r="I581" s="693" t="s">
        <v>2623</v>
      </c>
      <c r="J581" s="847">
        <v>13886290</v>
      </c>
      <c r="K581" s="847">
        <v>17119351</v>
      </c>
      <c r="L581" s="841">
        <v>104235466</v>
      </c>
      <c r="M581" s="847">
        <v>117782606</v>
      </c>
      <c r="N581" s="839">
        <f>Indicadores[[#This Row],[Ventas]]/Indicadores[[#This Row],[Activos totales]]</f>
        <v>1.1299667044228496</v>
      </c>
      <c r="O581" s="837">
        <f>IF(Indicadores[[#This Row],[Ventas]]=0,0,Indicadores[[#This Row],[EBITDA]]/Indicadores[[#This Row],[Ventas]])</f>
        <v>0.14534702178350511</v>
      </c>
      <c r="P581" s="837">
        <f>IF(Indicadores[[#This Row],[Ventas]]=0,0,Indicadores[[#This Row],[UAI]]/Indicadores[[#This Row],[Ventas]])</f>
        <v>0.11789762912870173</v>
      </c>
      <c r="Q581" s="837">
        <f>IFERROR(Indicadores[[#This Row],[Ventas]]/Indicadores[[#This Row],[Activos totales]],0)</f>
        <v>1.1299667044228496</v>
      </c>
    </row>
    <row r="582" spans="1:17" x14ac:dyDescent="0.35">
      <c r="A582" s="13" t="str">
        <f>MID(Indicadores[[#This Row],[CIIU]],2,4)</f>
        <v>2822</v>
      </c>
      <c r="B582" s="13" t="str">
        <f>Indicadores[[#This Row],[CIIU]]&amp;Indicadores[[#This Row],[Año]]</f>
        <v>C28222017</v>
      </c>
      <c r="C582" s="14" t="s">
        <v>2279</v>
      </c>
      <c r="D582" s="14" t="s">
        <v>2603</v>
      </c>
      <c r="E582" s="848">
        <v>2017</v>
      </c>
      <c r="F582" s="849" t="s">
        <v>2625</v>
      </c>
      <c r="G582" s="693" t="s">
        <v>2626</v>
      </c>
      <c r="H582" s="848" t="s">
        <v>2627</v>
      </c>
      <c r="I582" s="693" t="s">
        <v>2626</v>
      </c>
      <c r="J582" s="847">
        <v>7898290</v>
      </c>
      <c r="K582" s="847">
        <v>9789698</v>
      </c>
      <c r="L582" s="841">
        <v>70194997</v>
      </c>
      <c r="M582" s="847">
        <v>38746459</v>
      </c>
      <c r="N582" s="839">
        <f>Indicadores[[#This Row],[Ventas]]/Indicadores[[#This Row],[Activos totales]]</f>
        <v>0.55198319903055204</v>
      </c>
      <c r="O582" s="837">
        <f>IF(Indicadores[[#This Row],[Ventas]]=0,0,Indicadores[[#This Row],[EBITDA]]/Indicadores[[#This Row],[Ventas]])</f>
        <v>0.2526604560174131</v>
      </c>
      <c r="P582" s="837">
        <f>IF(Indicadores[[#This Row],[Ventas]]=0,0,Indicadores[[#This Row],[UAI]]/Indicadores[[#This Row],[Ventas]])</f>
        <v>0.20384546623989563</v>
      </c>
      <c r="Q582" s="837">
        <f>IFERROR(Indicadores[[#This Row],[Ventas]]/Indicadores[[#This Row],[Activos totales]],0)</f>
        <v>0.55198319903055204</v>
      </c>
    </row>
    <row r="583" spans="1:17" x14ac:dyDescent="0.35">
      <c r="A583" s="13" t="str">
        <f>MID(Indicadores[[#This Row],[CIIU]],2,4)</f>
        <v>2823</v>
      </c>
      <c r="B583" s="13" t="str">
        <f>Indicadores[[#This Row],[CIIU]]&amp;Indicadores[[#This Row],[Año]]</f>
        <v>C28232017</v>
      </c>
      <c r="C583" s="14" t="s">
        <v>2279</v>
      </c>
      <c r="D583" s="14" t="s">
        <v>2603</v>
      </c>
      <c r="E583" s="848">
        <v>2017</v>
      </c>
      <c r="F583" s="849" t="s">
        <v>2628</v>
      </c>
      <c r="G583" s="693" t="s">
        <v>2629</v>
      </c>
      <c r="H583" s="848" t="s">
        <v>2630</v>
      </c>
      <c r="I583" s="693" t="s">
        <v>2629</v>
      </c>
      <c r="J583" s="847">
        <v>-209776</v>
      </c>
      <c r="K583" s="847">
        <v>475589</v>
      </c>
      <c r="L583" s="841">
        <v>9032161</v>
      </c>
      <c r="M583" s="847">
        <v>2468534</v>
      </c>
      <c r="N583" s="839">
        <f>Indicadores[[#This Row],[Ventas]]/Indicadores[[#This Row],[Activos totales]]</f>
        <v>0.27330491562318254</v>
      </c>
      <c r="O583" s="837">
        <f>IF(Indicadores[[#This Row],[Ventas]]=0,0,Indicadores[[#This Row],[EBITDA]]/Indicadores[[#This Row],[Ventas]])</f>
        <v>0.19266050214418759</v>
      </c>
      <c r="P583" s="837">
        <f>IF(Indicadores[[#This Row],[Ventas]]=0,0,Indicadores[[#This Row],[UAI]]/Indicadores[[#This Row],[Ventas]])</f>
        <v>-8.4979992173492447E-2</v>
      </c>
      <c r="Q583" s="837">
        <f>IFERROR(Indicadores[[#This Row],[Ventas]]/Indicadores[[#This Row],[Activos totales]],0)</f>
        <v>0.27330491562318254</v>
      </c>
    </row>
    <row r="584" spans="1:17" x14ac:dyDescent="0.35">
      <c r="A584" s="13" t="str">
        <f>MID(Indicadores[[#This Row],[CIIU]],2,4)</f>
        <v>2824</v>
      </c>
      <c r="B584" s="13" t="str">
        <f>Indicadores[[#This Row],[CIIU]]&amp;Indicadores[[#This Row],[Año]]</f>
        <v>C28242017</v>
      </c>
      <c r="C584" s="14" t="s">
        <v>2279</v>
      </c>
      <c r="D584" s="14" t="s">
        <v>2603</v>
      </c>
      <c r="E584" s="848">
        <v>2017</v>
      </c>
      <c r="F584" s="849" t="s">
        <v>2631</v>
      </c>
      <c r="G584" s="693" t="s">
        <v>2632</v>
      </c>
      <c r="H584" s="848" t="s">
        <v>2633</v>
      </c>
      <c r="I584" s="693" t="s">
        <v>2632</v>
      </c>
      <c r="J584" s="847">
        <v>4009202</v>
      </c>
      <c r="K584" s="847">
        <v>8547229</v>
      </c>
      <c r="L584" s="841">
        <v>71982340</v>
      </c>
      <c r="M584" s="847">
        <v>83131437</v>
      </c>
      <c r="N584" s="839">
        <f>Indicadores[[#This Row],[Ventas]]/Indicadores[[#This Row],[Activos totales]]</f>
        <v>1.1548865596756093</v>
      </c>
      <c r="O584" s="837">
        <f>IF(Indicadores[[#This Row],[Ventas]]=0,0,Indicadores[[#This Row],[EBITDA]]/Indicadores[[#This Row],[Ventas]])</f>
        <v>0.10281584570708191</v>
      </c>
      <c r="P584" s="837">
        <f>IF(Indicadores[[#This Row],[Ventas]]=0,0,Indicadores[[#This Row],[UAI]]/Indicadores[[#This Row],[Ventas]])</f>
        <v>4.8227266900246174E-2</v>
      </c>
      <c r="Q584" s="837">
        <f>IFERROR(Indicadores[[#This Row],[Ventas]]/Indicadores[[#This Row],[Activos totales]],0)</f>
        <v>1.1548865596756093</v>
      </c>
    </row>
    <row r="585" spans="1:17" x14ac:dyDescent="0.35">
      <c r="A585" s="13" t="str">
        <f>MID(Indicadores[[#This Row],[CIIU]],2,4)</f>
        <v>2825</v>
      </c>
      <c r="B585" s="13" t="str">
        <f>Indicadores[[#This Row],[CIIU]]&amp;Indicadores[[#This Row],[Año]]</f>
        <v>C28252017</v>
      </c>
      <c r="C585" s="14" t="s">
        <v>2279</v>
      </c>
      <c r="D585" s="14" t="s">
        <v>2603</v>
      </c>
      <c r="E585" s="848">
        <v>2017</v>
      </c>
      <c r="F585" s="849" t="s">
        <v>2634</v>
      </c>
      <c r="G585" s="693" t="s">
        <v>2635</v>
      </c>
      <c r="H585" s="848" t="s">
        <v>2636</v>
      </c>
      <c r="I585" s="693" t="s">
        <v>2635</v>
      </c>
      <c r="J585" s="847">
        <v>-4220793</v>
      </c>
      <c r="K585" s="847">
        <v>1002566</v>
      </c>
      <c r="L585" s="841">
        <v>122668509</v>
      </c>
      <c r="M585" s="847">
        <v>73186754</v>
      </c>
      <c r="N585" s="839">
        <f>Indicadores[[#This Row],[Ventas]]/Indicadores[[#This Row],[Activos totales]]</f>
        <v>0.59662218605754802</v>
      </c>
      <c r="O585" s="837">
        <f>IF(Indicadores[[#This Row],[Ventas]]=0,0,Indicadores[[#This Row],[EBITDA]]/Indicadores[[#This Row],[Ventas]])</f>
        <v>1.3698735702911486E-2</v>
      </c>
      <c r="P585" s="837">
        <f>IF(Indicadores[[#This Row],[Ventas]]=0,0,Indicadores[[#This Row],[UAI]]/Indicadores[[#This Row],[Ventas]])</f>
        <v>-5.767154258542468E-2</v>
      </c>
      <c r="Q585" s="837">
        <f>IFERROR(Indicadores[[#This Row],[Ventas]]/Indicadores[[#This Row],[Activos totales]],0)</f>
        <v>0.59662218605754802</v>
      </c>
    </row>
    <row r="586" spans="1:17" x14ac:dyDescent="0.35">
      <c r="A586" s="13" t="str">
        <f>MID(Indicadores[[#This Row],[CIIU]],2,4)</f>
        <v>2829</v>
      </c>
      <c r="B586" s="13" t="str">
        <f>Indicadores[[#This Row],[CIIU]]&amp;Indicadores[[#This Row],[Año]]</f>
        <v>C28292017</v>
      </c>
      <c r="C586" s="14" t="s">
        <v>2279</v>
      </c>
      <c r="D586" s="14" t="s">
        <v>2603</v>
      </c>
      <c r="E586" s="848">
        <v>2017</v>
      </c>
      <c r="F586" s="849" t="s">
        <v>2637</v>
      </c>
      <c r="G586" s="693" t="s">
        <v>2638</v>
      </c>
      <c r="H586" s="848" t="s">
        <v>2639</v>
      </c>
      <c r="I586" s="693" t="s">
        <v>2638</v>
      </c>
      <c r="J586" s="847">
        <v>-34402632</v>
      </c>
      <c r="K586" s="847">
        <v>-25192108</v>
      </c>
      <c r="L586" s="841">
        <v>594959468</v>
      </c>
      <c r="M586" s="847">
        <v>416545783</v>
      </c>
      <c r="N586" s="839">
        <f>Indicadores[[#This Row],[Ventas]]/Indicadores[[#This Row],[Activos totales]]</f>
        <v>0.70012463941493241</v>
      </c>
      <c r="O586" s="837">
        <f>IF(Indicadores[[#This Row],[Ventas]]=0,0,Indicadores[[#This Row],[EBITDA]]/Indicadores[[#This Row],[Ventas]])</f>
        <v>-6.0478605301352913E-2</v>
      </c>
      <c r="P586" s="837">
        <f>IF(Indicadores[[#This Row],[Ventas]]=0,0,Indicadores[[#This Row],[UAI]]/Indicadores[[#This Row],[Ventas]])</f>
        <v>-8.2590277957513253E-2</v>
      </c>
      <c r="Q586" s="837">
        <f>IFERROR(Indicadores[[#This Row],[Ventas]]/Indicadores[[#This Row],[Activos totales]],0)</f>
        <v>0.70012463941493241</v>
      </c>
    </row>
    <row r="587" spans="1:17" x14ac:dyDescent="0.35">
      <c r="A587" s="13" t="str">
        <f>MID(Indicadores[[#This Row],[CIIU]],2,4)</f>
        <v>2910</v>
      </c>
      <c r="B587" s="13" t="str">
        <f>Indicadores[[#This Row],[CIIU]]&amp;Indicadores[[#This Row],[Año]]</f>
        <v>C29102017</v>
      </c>
      <c r="C587" s="14" t="s">
        <v>2279</v>
      </c>
      <c r="D587" s="14" t="s">
        <v>2640</v>
      </c>
      <c r="E587" s="848">
        <v>2017</v>
      </c>
      <c r="F587" s="849" t="s">
        <v>2641</v>
      </c>
      <c r="G587" s="838" t="s">
        <v>2642</v>
      </c>
      <c r="H587" s="848" t="s">
        <v>2643</v>
      </c>
      <c r="I587" s="693" t="s">
        <v>2642</v>
      </c>
      <c r="J587" s="847">
        <v>147346637</v>
      </c>
      <c r="K587" s="847">
        <v>193616424</v>
      </c>
      <c r="L587" s="841">
        <v>2006763683</v>
      </c>
      <c r="M587" s="847">
        <v>5274225435</v>
      </c>
      <c r="N587" s="839">
        <f>Indicadores[[#This Row],[Ventas]]/Indicadores[[#This Row],[Activos totales]]</f>
        <v>2.6282244788859876</v>
      </c>
      <c r="O587" s="837">
        <f>IF(Indicadores[[#This Row],[Ventas]]=0,0,Indicadores[[#This Row],[EBITDA]]/Indicadores[[#This Row],[Ventas]])</f>
        <v>3.6709925729596728E-2</v>
      </c>
      <c r="P587" s="837">
        <f>IF(Indicadores[[#This Row],[Ventas]]=0,0,Indicadores[[#This Row],[UAI]]/Indicadores[[#This Row],[Ventas]])</f>
        <v>2.7937113954629434E-2</v>
      </c>
      <c r="Q587" s="837">
        <f>IFERROR(Indicadores[[#This Row],[Ventas]]/Indicadores[[#This Row],[Activos totales]],0)</f>
        <v>2.6282244788859876</v>
      </c>
    </row>
    <row r="588" spans="1:17" x14ac:dyDescent="0.35">
      <c r="A588" s="13" t="str">
        <f>MID(Indicadores[[#This Row],[CIIU]],2,4)</f>
        <v>2920</v>
      </c>
      <c r="B588" s="13" t="str">
        <f>Indicadores[[#This Row],[CIIU]]&amp;Indicadores[[#This Row],[Año]]</f>
        <v>C29202017</v>
      </c>
      <c r="C588" s="14" t="s">
        <v>2279</v>
      </c>
      <c r="D588" s="14" t="s">
        <v>2640</v>
      </c>
      <c r="E588" s="848">
        <v>2017</v>
      </c>
      <c r="F588" s="849" t="s">
        <v>2644</v>
      </c>
      <c r="G588" s="693" t="s">
        <v>2645</v>
      </c>
      <c r="H588" s="848" t="s">
        <v>2646</v>
      </c>
      <c r="I588" s="693" t="s">
        <v>2647</v>
      </c>
      <c r="J588" s="847">
        <v>58985448</v>
      </c>
      <c r="K588" s="847">
        <v>79952497</v>
      </c>
      <c r="L588" s="841">
        <v>716177612</v>
      </c>
      <c r="M588" s="847">
        <v>403537741</v>
      </c>
      <c r="N588" s="839">
        <f>Indicadores[[#This Row],[Ventas]]/Indicadores[[#This Row],[Activos totales]]</f>
        <v>0.56346042411613395</v>
      </c>
      <c r="O588" s="837">
        <f>IF(Indicadores[[#This Row],[Ventas]]=0,0,Indicadores[[#This Row],[EBITDA]]/Indicadores[[#This Row],[Ventas]])</f>
        <v>0.19812892048677053</v>
      </c>
      <c r="P588" s="837">
        <f>IF(Indicadores[[#This Row],[Ventas]]=0,0,Indicadores[[#This Row],[UAI]]/Indicadores[[#This Row],[Ventas]])</f>
        <v>0.14617083362222619</v>
      </c>
      <c r="Q588" s="837">
        <f>IFERROR(Indicadores[[#This Row],[Ventas]]/Indicadores[[#This Row],[Activos totales]],0)</f>
        <v>0.56346042411613395</v>
      </c>
    </row>
    <row r="589" spans="1:17" x14ac:dyDescent="0.35">
      <c r="A589" s="13" t="str">
        <f>MID(Indicadores[[#This Row],[CIIU]],2,4)</f>
        <v>2930</v>
      </c>
      <c r="B589" s="13" t="str">
        <f>Indicadores[[#This Row],[CIIU]]&amp;Indicadores[[#This Row],[Año]]</f>
        <v>C29302017</v>
      </c>
      <c r="C589" s="14" t="s">
        <v>2279</v>
      </c>
      <c r="D589" s="14" t="s">
        <v>2640</v>
      </c>
      <c r="E589" s="848">
        <v>2017</v>
      </c>
      <c r="F589" s="849" t="s">
        <v>2648</v>
      </c>
      <c r="G589" s="693" t="s">
        <v>2649</v>
      </c>
      <c r="H589" s="848" t="s">
        <v>2650</v>
      </c>
      <c r="I589" s="693" t="s">
        <v>2649</v>
      </c>
      <c r="J589" s="847">
        <v>66436142</v>
      </c>
      <c r="K589" s="847">
        <v>107930283</v>
      </c>
      <c r="L589" s="841">
        <v>1410048346</v>
      </c>
      <c r="M589" s="847">
        <v>1223274134</v>
      </c>
      <c r="N589" s="839">
        <f>Indicadores[[#This Row],[Ventas]]/Indicadores[[#This Row],[Activos totales]]</f>
        <v>0.86754056161986381</v>
      </c>
      <c r="O589" s="837">
        <f>IF(Indicadores[[#This Row],[Ventas]]=0,0,Indicadores[[#This Row],[EBITDA]]/Indicadores[[#This Row],[Ventas]])</f>
        <v>8.8230659015961832E-2</v>
      </c>
      <c r="P589" s="837">
        <f>IF(Indicadores[[#This Row],[Ventas]]=0,0,Indicadores[[#This Row],[UAI]]/Indicadores[[#This Row],[Ventas]])</f>
        <v>5.4310101189468947E-2</v>
      </c>
      <c r="Q589" s="837">
        <f>IFERROR(Indicadores[[#This Row],[Ventas]]/Indicadores[[#This Row],[Activos totales]],0)</f>
        <v>0.86754056161986381</v>
      </c>
    </row>
    <row r="590" spans="1:17" x14ac:dyDescent="0.35">
      <c r="A590" s="13" t="str">
        <f>MID(Indicadores[[#This Row],[CIIU]],2,4)</f>
        <v>3011</v>
      </c>
      <c r="B590" s="13" t="str">
        <f>Indicadores[[#This Row],[CIIU]]&amp;Indicadores[[#This Row],[Año]]</f>
        <v>C30112017</v>
      </c>
      <c r="C590" s="14" t="s">
        <v>2279</v>
      </c>
      <c r="D590" s="14" t="s">
        <v>2651</v>
      </c>
      <c r="E590" s="848">
        <v>2017</v>
      </c>
      <c r="F590" s="849" t="s">
        <v>2652</v>
      </c>
      <c r="G590" s="693" t="s">
        <v>2653</v>
      </c>
      <c r="H590" s="848" t="s">
        <v>2654</v>
      </c>
      <c r="I590" s="693" t="s">
        <v>2653</v>
      </c>
      <c r="J590" s="847">
        <v>2956831</v>
      </c>
      <c r="K590" s="847">
        <v>7065552</v>
      </c>
      <c r="L590" s="841">
        <v>87923010</v>
      </c>
      <c r="M590" s="847">
        <v>34500358</v>
      </c>
      <c r="N590" s="839">
        <f>Indicadores[[#This Row],[Ventas]]/Indicadores[[#This Row],[Activos totales]]</f>
        <v>0.39239282185630359</v>
      </c>
      <c r="O590" s="837">
        <f>IF(Indicadores[[#This Row],[Ventas]]=0,0,Indicadores[[#This Row],[EBITDA]]/Indicadores[[#This Row],[Ventas]])</f>
        <v>0.20479648356112712</v>
      </c>
      <c r="P590" s="837">
        <f>IF(Indicadores[[#This Row],[Ventas]]=0,0,Indicadores[[#This Row],[UAI]]/Indicadores[[#This Row],[Ventas]])</f>
        <v>8.5704357038845796E-2</v>
      </c>
      <c r="Q590" s="837">
        <f>IFERROR(Indicadores[[#This Row],[Ventas]]/Indicadores[[#This Row],[Activos totales]],0)</f>
        <v>0.39239282185630359</v>
      </c>
    </row>
    <row r="591" spans="1:17" x14ac:dyDescent="0.35">
      <c r="A591" s="13" t="str">
        <f>MID(Indicadores[[#This Row],[CIIU]],2,4)</f>
        <v>3012</v>
      </c>
      <c r="B591" s="13" t="str">
        <f>Indicadores[[#This Row],[CIIU]]&amp;Indicadores[[#This Row],[Año]]</f>
        <v>C30122017</v>
      </c>
      <c r="C591" s="14" t="s">
        <v>2279</v>
      </c>
      <c r="D591" s="14" t="s">
        <v>2651</v>
      </c>
      <c r="E591" s="848">
        <v>2017</v>
      </c>
      <c r="F591" s="849" t="s">
        <v>2655</v>
      </c>
      <c r="G591" s="693" t="s">
        <v>2656</v>
      </c>
      <c r="H591" s="848" t="s">
        <v>2657</v>
      </c>
      <c r="I591" s="693" t="s">
        <v>2656</v>
      </c>
      <c r="J591" s="847">
        <v>14485643</v>
      </c>
      <c r="K591" s="847">
        <v>16751647</v>
      </c>
      <c r="L591" s="841">
        <v>98810394</v>
      </c>
      <c r="M591" s="847">
        <v>54532955</v>
      </c>
      <c r="N591" s="839">
        <f>Indicadores[[#This Row],[Ventas]]/Indicadores[[#This Row],[Activos totales]]</f>
        <v>0.55189492514319904</v>
      </c>
      <c r="O591" s="837">
        <f>IF(Indicadores[[#This Row],[Ventas]]=0,0,Indicadores[[#This Row],[EBITDA]]/Indicadores[[#This Row],[Ventas]])</f>
        <v>0.30718392208894602</v>
      </c>
      <c r="P591" s="837">
        <f>IF(Indicadores[[#This Row],[Ventas]]=0,0,Indicadores[[#This Row],[UAI]]/Indicadores[[#This Row],[Ventas]])</f>
        <v>0.26563099322235517</v>
      </c>
      <c r="Q591" s="837">
        <f>IFERROR(Indicadores[[#This Row],[Ventas]]/Indicadores[[#This Row],[Activos totales]],0)</f>
        <v>0.55189492514319904</v>
      </c>
    </row>
    <row r="592" spans="1:17" x14ac:dyDescent="0.35">
      <c r="A592" s="13" t="str">
        <f>MID(Indicadores[[#This Row],[CIIU]],2,4)</f>
        <v>3030</v>
      </c>
      <c r="B592" s="13" t="str">
        <f>Indicadores[[#This Row],[CIIU]]&amp;Indicadores[[#This Row],[Año]]</f>
        <v>C30302017</v>
      </c>
      <c r="C592" s="14" t="s">
        <v>2279</v>
      </c>
      <c r="D592" s="14" t="s">
        <v>2651</v>
      </c>
      <c r="E592" s="848">
        <v>2017</v>
      </c>
      <c r="F592" s="849" t="s">
        <v>2658</v>
      </c>
      <c r="G592" s="693" t="s">
        <v>2659</v>
      </c>
      <c r="H592" s="848" t="s">
        <v>2660</v>
      </c>
      <c r="I592" s="693" t="s">
        <v>2659</v>
      </c>
      <c r="J592" s="847">
        <v>1155836</v>
      </c>
      <c r="K592" s="847">
        <v>4877074</v>
      </c>
      <c r="L592" s="841">
        <v>37646651</v>
      </c>
      <c r="M592" s="847">
        <v>15930526</v>
      </c>
      <c r="N592" s="839">
        <f>Indicadores[[#This Row],[Ventas]]/Indicadores[[#This Row],[Activos totales]]</f>
        <v>0.42315918087906412</v>
      </c>
      <c r="O592" s="837">
        <f>IF(Indicadores[[#This Row],[Ventas]]=0,0,Indicadores[[#This Row],[EBITDA]]/Indicadores[[#This Row],[Ventas]])</f>
        <v>0.30614645115923983</v>
      </c>
      <c r="P592" s="837">
        <f>IF(Indicadores[[#This Row],[Ventas]]=0,0,Indicadores[[#This Row],[UAI]]/Indicadores[[#This Row],[Ventas]])</f>
        <v>7.255479197610927E-2</v>
      </c>
      <c r="Q592" s="837">
        <f>IFERROR(Indicadores[[#This Row],[Ventas]]/Indicadores[[#This Row],[Activos totales]],0)</f>
        <v>0.42315918087906412</v>
      </c>
    </row>
    <row r="593" spans="1:17" x14ac:dyDescent="0.35">
      <c r="A593" s="13" t="str">
        <f>MID(Indicadores[[#This Row],[CIIU]],2,4)</f>
        <v>3091</v>
      </c>
      <c r="B593" s="13" t="str">
        <f>Indicadores[[#This Row],[CIIU]]&amp;Indicadores[[#This Row],[Año]]</f>
        <v>C30912017</v>
      </c>
      <c r="C593" s="14" t="s">
        <v>2279</v>
      </c>
      <c r="D593" s="14" t="s">
        <v>2651</v>
      </c>
      <c r="E593" s="848">
        <v>2017</v>
      </c>
      <c r="F593" s="849" t="s">
        <v>2661</v>
      </c>
      <c r="G593" s="693" t="s">
        <v>2662</v>
      </c>
      <c r="H593" s="848" t="s">
        <v>2663</v>
      </c>
      <c r="I593" s="693" t="s">
        <v>2662</v>
      </c>
      <c r="J593" s="847">
        <v>100894535</v>
      </c>
      <c r="K593" s="847">
        <v>160502268</v>
      </c>
      <c r="L593" s="841">
        <v>2547341457</v>
      </c>
      <c r="M593" s="847">
        <v>2748407223</v>
      </c>
      <c r="N593" s="839">
        <f>Indicadores[[#This Row],[Ventas]]/Indicadores[[#This Row],[Activos totales]]</f>
        <v>1.0789316114050902</v>
      </c>
      <c r="O593" s="837">
        <f>IF(Indicadores[[#This Row],[Ventas]]=0,0,Indicadores[[#This Row],[EBITDA]]/Indicadores[[#This Row],[Ventas]])</f>
        <v>5.8398284889094834E-2</v>
      </c>
      <c r="P593" s="837">
        <f>IF(Indicadores[[#This Row],[Ventas]]=0,0,Indicadores[[#This Row],[UAI]]/Indicadores[[#This Row],[Ventas]])</f>
        <v>3.6710184049752806E-2</v>
      </c>
      <c r="Q593" s="837">
        <f>IFERROR(Indicadores[[#This Row],[Ventas]]/Indicadores[[#This Row],[Activos totales]],0)</f>
        <v>1.0789316114050902</v>
      </c>
    </row>
    <row r="594" spans="1:17" x14ac:dyDescent="0.35">
      <c r="A594" s="13" t="str">
        <f>MID(Indicadores[[#This Row],[CIIU]],2,4)</f>
        <v>3092</v>
      </c>
      <c r="B594" s="13" t="str">
        <f>Indicadores[[#This Row],[CIIU]]&amp;Indicadores[[#This Row],[Año]]</f>
        <v>C30922017</v>
      </c>
      <c r="C594" s="14" t="s">
        <v>2279</v>
      </c>
      <c r="D594" s="14" t="s">
        <v>2651</v>
      </c>
      <c r="E594" s="848">
        <v>2017</v>
      </c>
      <c r="F594" s="849" t="s">
        <v>2664</v>
      </c>
      <c r="G594" s="838" t="s">
        <v>2665</v>
      </c>
      <c r="H594" s="848" t="s">
        <v>2666</v>
      </c>
      <c r="I594" s="693" t="s">
        <v>2665</v>
      </c>
      <c r="J594" s="847">
        <v>2974683</v>
      </c>
      <c r="K594" s="847">
        <v>4121313</v>
      </c>
      <c r="L594" s="841">
        <v>36200499</v>
      </c>
      <c r="M594" s="847">
        <v>50671006</v>
      </c>
      <c r="N594" s="839">
        <f>Indicadores[[#This Row],[Ventas]]/Indicadores[[#This Row],[Activos totales]]</f>
        <v>1.3997322523095608</v>
      </c>
      <c r="O594" s="837">
        <f>IF(Indicadores[[#This Row],[Ventas]]=0,0,Indicadores[[#This Row],[EBITDA]]/Indicadores[[#This Row],[Ventas]])</f>
        <v>8.133473805513157E-2</v>
      </c>
      <c r="P594" s="837">
        <f>IF(Indicadores[[#This Row],[Ventas]]=0,0,Indicadores[[#This Row],[UAI]]/Indicadores[[#This Row],[Ventas]])</f>
        <v>5.8705820839633618E-2</v>
      </c>
      <c r="Q594" s="837">
        <f>IFERROR(Indicadores[[#This Row],[Ventas]]/Indicadores[[#This Row],[Activos totales]],0)</f>
        <v>1.3997322523095608</v>
      </c>
    </row>
    <row r="595" spans="1:17" x14ac:dyDescent="0.35">
      <c r="A595" s="13" t="str">
        <f>MID(Indicadores[[#This Row],[CIIU]],2,4)</f>
        <v>3110</v>
      </c>
      <c r="B595" s="13" t="str">
        <f>Indicadores[[#This Row],[CIIU]]&amp;Indicadores[[#This Row],[Año]]</f>
        <v>C31102017</v>
      </c>
      <c r="C595" s="14" t="s">
        <v>2279</v>
      </c>
      <c r="D595" s="14" t="s">
        <v>2670</v>
      </c>
      <c r="E595" s="848">
        <v>2017</v>
      </c>
      <c r="F595" s="849" t="s">
        <v>2671</v>
      </c>
      <c r="G595" s="693" t="s">
        <v>2672</v>
      </c>
      <c r="H595" s="848" t="s">
        <v>2673</v>
      </c>
      <c r="I595" s="693" t="s">
        <v>2674</v>
      </c>
      <c r="J595" s="847">
        <v>28891287</v>
      </c>
      <c r="K595" s="847">
        <v>76228027</v>
      </c>
      <c r="L595" s="841">
        <v>1177600615</v>
      </c>
      <c r="M595" s="847">
        <v>948858352</v>
      </c>
      <c r="N595" s="839">
        <f>Indicadores[[#This Row],[Ventas]]/Indicadores[[#This Row],[Activos totales]]</f>
        <v>0.80575565256477044</v>
      </c>
      <c r="O595" s="837">
        <f>IF(Indicadores[[#This Row],[Ventas]]=0,0,Indicadores[[#This Row],[EBITDA]]/Indicadores[[#This Row],[Ventas]])</f>
        <v>8.0336571669867116E-2</v>
      </c>
      <c r="P595" s="837">
        <f>IF(Indicadores[[#This Row],[Ventas]]=0,0,Indicadores[[#This Row],[UAI]]/Indicadores[[#This Row],[Ventas]])</f>
        <v>3.0448472039164808E-2</v>
      </c>
      <c r="Q595" s="837">
        <f>IFERROR(Indicadores[[#This Row],[Ventas]]/Indicadores[[#This Row],[Activos totales]],0)</f>
        <v>0.80575565256477044</v>
      </c>
    </row>
    <row r="596" spans="1:17" x14ac:dyDescent="0.35">
      <c r="A596" s="13" t="str">
        <f>MID(Indicadores[[#This Row],[CIIU]],2,4)</f>
        <v>3120</v>
      </c>
      <c r="B596" s="13" t="str">
        <f>Indicadores[[#This Row],[CIIU]]&amp;Indicadores[[#This Row],[Año]]</f>
        <v>C31202017</v>
      </c>
      <c r="C596" s="14" t="s">
        <v>2279</v>
      </c>
      <c r="D596" s="14" t="s">
        <v>2670</v>
      </c>
      <c r="E596" s="848">
        <v>2017</v>
      </c>
      <c r="F596" s="849" t="s">
        <v>2675</v>
      </c>
      <c r="G596" s="693" t="s">
        <v>2676</v>
      </c>
      <c r="H596" s="848" t="s">
        <v>2677</v>
      </c>
      <c r="I596" s="693" t="s">
        <v>2676</v>
      </c>
      <c r="J596" s="847">
        <v>32204332</v>
      </c>
      <c r="K596" s="847">
        <v>63228642</v>
      </c>
      <c r="L596" s="841">
        <v>489192706</v>
      </c>
      <c r="M596" s="847">
        <v>572194703</v>
      </c>
      <c r="N596" s="839">
        <f>Indicadores[[#This Row],[Ventas]]/Indicadores[[#This Row],[Activos totales]]</f>
        <v>1.1696713707746902</v>
      </c>
      <c r="O596" s="837">
        <f>IF(Indicadores[[#This Row],[Ventas]]=0,0,Indicadores[[#This Row],[EBITDA]]/Indicadores[[#This Row],[Ventas]])</f>
        <v>0.11050197016591397</v>
      </c>
      <c r="P596" s="837">
        <f>IF(Indicadores[[#This Row],[Ventas]]=0,0,Indicadores[[#This Row],[UAI]]/Indicadores[[#This Row],[Ventas]])</f>
        <v>5.6282121856692548E-2</v>
      </c>
      <c r="Q596" s="837">
        <f>IFERROR(Indicadores[[#This Row],[Ventas]]/Indicadores[[#This Row],[Activos totales]],0)</f>
        <v>1.1696713707746902</v>
      </c>
    </row>
    <row r="597" spans="1:17" x14ac:dyDescent="0.35">
      <c r="A597" s="13" t="str">
        <f>MID(Indicadores[[#This Row],[CIIU]],2,4)</f>
        <v>3210</v>
      </c>
      <c r="B597" s="13" t="str">
        <f>Indicadores[[#This Row],[CIIU]]&amp;Indicadores[[#This Row],[Año]]</f>
        <v>C32102017</v>
      </c>
      <c r="C597" s="14" t="s">
        <v>2279</v>
      </c>
      <c r="D597" s="14" t="s">
        <v>2678</v>
      </c>
      <c r="E597" s="848">
        <v>2017</v>
      </c>
      <c r="F597" s="849" t="s">
        <v>2679</v>
      </c>
      <c r="G597" s="693" t="s">
        <v>2680</v>
      </c>
      <c r="H597" s="848" t="s">
        <v>2681</v>
      </c>
      <c r="I597" s="693" t="s">
        <v>2680</v>
      </c>
      <c r="J597" s="847">
        <v>4731620</v>
      </c>
      <c r="K597" s="847">
        <v>6187561</v>
      </c>
      <c r="L597" s="841">
        <v>65969970</v>
      </c>
      <c r="M597" s="847">
        <v>49623192</v>
      </c>
      <c r="N597" s="839">
        <f>Indicadores[[#This Row],[Ventas]]/Indicadores[[#This Row],[Activos totales]]</f>
        <v>0.75220880045875416</v>
      </c>
      <c r="O597" s="837">
        <f>IF(Indicadores[[#This Row],[Ventas]]=0,0,Indicadores[[#This Row],[EBITDA]]/Indicadores[[#This Row],[Ventas]])</f>
        <v>0.12469091065322843</v>
      </c>
      <c r="P597" s="837">
        <f>IF(Indicadores[[#This Row],[Ventas]]=0,0,Indicadores[[#This Row],[UAI]]/Indicadores[[#This Row],[Ventas]])</f>
        <v>9.5350980243270128E-2</v>
      </c>
      <c r="Q597" s="837">
        <f>IFERROR(Indicadores[[#This Row],[Ventas]]/Indicadores[[#This Row],[Activos totales]],0)</f>
        <v>0.75220880045875416</v>
      </c>
    </row>
    <row r="598" spans="1:17" x14ac:dyDescent="0.35">
      <c r="A598" s="13" t="str">
        <f>MID(Indicadores[[#This Row],[CIIU]],2,4)</f>
        <v>3230</v>
      </c>
      <c r="B598" s="13" t="str">
        <f>Indicadores[[#This Row],[CIIU]]&amp;Indicadores[[#This Row],[Año]]</f>
        <v>C32302017</v>
      </c>
      <c r="C598" s="14" t="s">
        <v>2279</v>
      </c>
      <c r="D598" s="14" t="s">
        <v>2678</v>
      </c>
      <c r="E598" s="848">
        <v>2017</v>
      </c>
      <c r="F598" s="849" t="s">
        <v>2682</v>
      </c>
      <c r="G598" s="693" t="s">
        <v>2683</v>
      </c>
      <c r="H598" s="848" t="s">
        <v>2684</v>
      </c>
      <c r="I598" s="693" t="s">
        <v>2683</v>
      </c>
      <c r="J598" s="847">
        <v>478347</v>
      </c>
      <c r="K598" s="847">
        <v>1064677</v>
      </c>
      <c r="L598" s="841">
        <v>10010586</v>
      </c>
      <c r="M598" s="847">
        <v>4232460</v>
      </c>
      <c r="N598" s="839">
        <f>Indicadores[[#This Row],[Ventas]]/Indicadores[[#This Row],[Activos totales]]</f>
        <v>0.42279842558667396</v>
      </c>
      <c r="O598" s="837">
        <f>IF(Indicadores[[#This Row],[Ventas]]=0,0,Indicadores[[#This Row],[EBITDA]]/Indicadores[[#This Row],[Ventas]])</f>
        <v>0.25155039858616501</v>
      </c>
      <c r="P598" s="837">
        <f>IF(Indicadores[[#This Row],[Ventas]]=0,0,Indicadores[[#This Row],[UAI]]/Indicadores[[#This Row],[Ventas]])</f>
        <v>0.11301866999333721</v>
      </c>
      <c r="Q598" s="837">
        <f>IFERROR(Indicadores[[#This Row],[Ventas]]/Indicadores[[#This Row],[Activos totales]],0)</f>
        <v>0.42279842558667396</v>
      </c>
    </row>
    <row r="599" spans="1:17" x14ac:dyDescent="0.35">
      <c r="A599" s="13" t="str">
        <f>MID(Indicadores[[#This Row],[CIIU]],2,4)</f>
        <v>3240</v>
      </c>
      <c r="B599" s="13" t="str">
        <f>Indicadores[[#This Row],[CIIU]]&amp;Indicadores[[#This Row],[Año]]</f>
        <v>C32402017</v>
      </c>
      <c r="C599" s="14" t="s">
        <v>2279</v>
      </c>
      <c r="D599" s="14" t="s">
        <v>2678</v>
      </c>
      <c r="E599" s="848">
        <v>2017</v>
      </c>
      <c r="F599" s="849" t="s">
        <v>2685</v>
      </c>
      <c r="G599" s="693" t="s">
        <v>2686</v>
      </c>
      <c r="H599" s="848" t="s">
        <v>2687</v>
      </c>
      <c r="I599" s="693" t="s">
        <v>2686</v>
      </c>
      <c r="J599" s="847">
        <v>1775730</v>
      </c>
      <c r="K599" s="847">
        <v>5033669</v>
      </c>
      <c r="L599" s="841">
        <v>51420687</v>
      </c>
      <c r="M599" s="847">
        <v>33763384</v>
      </c>
      <c r="N599" s="839">
        <f>Indicadores[[#This Row],[Ventas]]/Indicadores[[#This Row],[Activos totales]]</f>
        <v>0.65661090836845493</v>
      </c>
      <c r="O599" s="837">
        <f>IF(Indicadores[[#This Row],[Ventas]]=0,0,Indicadores[[#This Row],[EBITDA]]/Indicadores[[#This Row],[Ventas]])</f>
        <v>0.14908662591403751</v>
      </c>
      <c r="P599" s="837">
        <f>IF(Indicadores[[#This Row],[Ventas]]=0,0,Indicadores[[#This Row],[UAI]]/Indicadores[[#This Row],[Ventas]])</f>
        <v>5.2593365641311313E-2</v>
      </c>
      <c r="Q599" s="837">
        <f>IFERROR(Indicadores[[#This Row],[Ventas]]/Indicadores[[#This Row],[Activos totales]],0)</f>
        <v>0.65661090836845493</v>
      </c>
    </row>
    <row r="600" spans="1:17" x14ac:dyDescent="0.35">
      <c r="A600" s="13" t="str">
        <f>MID(Indicadores[[#This Row],[CIIU]],2,4)</f>
        <v>3250</v>
      </c>
      <c r="B600" s="13" t="str">
        <f>Indicadores[[#This Row],[CIIU]]&amp;Indicadores[[#This Row],[Año]]</f>
        <v>C32502017</v>
      </c>
      <c r="C600" s="14" t="s">
        <v>2279</v>
      </c>
      <c r="D600" s="14" t="s">
        <v>2678</v>
      </c>
      <c r="E600" s="848">
        <v>2017</v>
      </c>
      <c r="F600" s="849" t="s">
        <v>2688</v>
      </c>
      <c r="G600" s="693" t="s">
        <v>2689</v>
      </c>
      <c r="H600" s="848" t="s">
        <v>2690</v>
      </c>
      <c r="I600" s="693" t="s">
        <v>2689</v>
      </c>
      <c r="J600" s="847">
        <v>17207920</v>
      </c>
      <c r="K600" s="847">
        <v>40720575</v>
      </c>
      <c r="L600" s="841">
        <v>339763909</v>
      </c>
      <c r="M600" s="847">
        <v>270603865</v>
      </c>
      <c r="N600" s="839">
        <f>Indicadores[[#This Row],[Ventas]]/Indicadores[[#This Row],[Activos totales]]</f>
        <v>0.79644676150697336</v>
      </c>
      <c r="O600" s="837">
        <f>IF(Indicadores[[#This Row],[Ventas]]=0,0,Indicadores[[#This Row],[EBITDA]]/Indicadores[[#This Row],[Ventas]])</f>
        <v>0.15048038948002462</v>
      </c>
      <c r="P600" s="837">
        <f>IF(Indicadores[[#This Row],[Ventas]]=0,0,Indicadores[[#This Row],[UAI]]/Indicadores[[#This Row],[Ventas]])</f>
        <v>6.3590813826698303E-2</v>
      </c>
      <c r="Q600" s="837">
        <f>IFERROR(Indicadores[[#This Row],[Ventas]]/Indicadores[[#This Row],[Activos totales]],0)</f>
        <v>0.79644676150697336</v>
      </c>
    </row>
    <row r="601" spans="1:17" x14ac:dyDescent="0.35">
      <c r="A601" s="13" t="str">
        <f>MID(Indicadores[[#This Row],[CIIU]],2,4)</f>
        <v>3290</v>
      </c>
      <c r="B601" s="13" t="str">
        <f>Indicadores[[#This Row],[CIIU]]&amp;Indicadores[[#This Row],[Año]]</f>
        <v>C32902017</v>
      </c>
      <c r="C601" s="14" t="s">
        <v>2279</v>
      </c>
      <c r="D601" s="14" t="s">
        <v>2678</v>
      </c>
      <c r="E601" s="848">
        <v>2017</v>
      </c>
      <c r="F601" s="849" t="s">
        <v>2691</v>
      </c>
      <c r="G601" s="693" t="s">
        <v>2692</v>
      </c>
      <c r="H601" s="848" t="s">
        <v>2693</v>
      </c>
      <c r="I601" s="693" t="s">
        <v>2692</v>
      </c>
      <c r="J601" s="847">
        <v>188414344</v>
      </c>
      <c r="K601" s="847">
        <v>260848275</v>
      </c>
      <c r="L601" s="841">
        <v>2944216060</v>
      </c>
      <c r="M601" s="847">
        <v>2926215891</v>
      </c>
      <c r="N601" s="839">
        <f>Indicadores[[#This Row],[Ventas]]/Indicadores[[#This Row],[Activos totales]]</f>
        <v>0.99388626084731024</v>
      </c>
      <c r="O601" s="837">
        <f>IF(Indicadores[[#This Row],[Ventas]]=0,0,Indicadores[[#This Row],[EBITDA]]/Indicadores[[#This Row],[Ventas]])</f>
        <v>8.9141842132112181E-2</v>
      </c>
      <c r="P601" s="837">
        <f>IF(Indicadores[[#This Row],[Ventas]]=0,0,Indicadores[[#This Row],[UAI]]/Indicadores[[#This Row],[Ventas]])</f>
        <v>6.4388394779583955E-2</v>
      </c>
      <c r="Q601" s="837">
        <f>IFERROR(Indicadores[[#This Row],[Ventas]]/Indicadores[[#This Row],[Activos totales]],0)</f>
        <v>0.99388626084731024</v>
      </c>
    </row>
    <row r="602" spans="1:17" x14ac:dyDescent="0.35">
      <c r="A602" s="13" t="str">
        <f>MID(Indicadores[[#This Row],[CIIU]],2,4)</f>
        <v>3311</v>
      </c>
      <c r="B602" s="13" t="str">
        <f>Indicadores[[#This Row],[CIIU]]&amp;Indicadores[[#This Row],[Año]]</f>
        <v>C33112017</v>
      </c>
      <c r="C602" s="14" t="s">
        <v>2279</v>
      </c>
      <c r="D602" s="14" t="s">
        <v>2694</v>
      </c>
      <c r="E602" s="848">
        <v>2017</v>
      </c>
      <c r="F602" s="849" t="s">
        <v>2695</v>
      </c>
      <c r="G602" s="693" t="s">
        <v>2696</v>
      </c>
      <c r="H602" s="848" t="s">
        <v>2697</v>
      </c>
      <c r="I602" s="693" t="s">
        <v>2696</v>
      </c>
      <c r="J602" s="847">
        <v>5115086</v>
      </c>
      <c r="K602" s="847">
        <v>6413711</v>
      </c>
      <c r="L602" s="841">
        <v>63961642</v>
      </c>
      <c r="M602" s="847">
        <v>51939739</v>
      </c>
      <c r="N602" s="839">
        <f>Indicadores[[#This Row],[Ventas]]/Indicadores[[#This Row],[Activos totales]]</f>
        <v>0.81204511604001661</v>
      </c>
      <c r="O602" s="837">
        <f>IF(Indicadores[[#This Row],[Ventas]]=0,0,Indicadores[[#This Row],[EBITDA]]/Indicadores[[#This Row],[Ventas]])</f>
        <v>0.12348369713602142</v>
      </c>
      <c r="P602" s="837">
        <f>IF(Indicadores[[#This Row],[Ventas]]=0,0,Indicadores[[#This Row],[UAI]]/Indicadores[[#This Row],[Ventas]])</f>
        <v>9.848116487454818E-2</v>
      </c>
      <c r="Q602" s="837">
        <f>IFERROR(Indicadores[[#This Row],[Ventas]]/Indicadores[[#This Row],[Activos totales]],0)</f>
        <v>0.81204511604001661</v>
      </c>
    </row>
    <row r="603" spans="1:17" x14ac:dyDescent="0.35">
      <c r="A603" s="13" t="str">
        <f>MID(Indicadores[[#This Row],[CIIU]],2,4)</f>
        <v>3312</v>
      </c>
      <c r="B603" s="13" t="str">
        <f>Indicadores[[#This Row],[CIIU]]&amp;Indicadores[[#This Row],[Año]]</f>
        <v>C33122017</v>
      </c>
      <c r="C603" s="14" t="s">
        <v>2279</v>
      </c>
      <c r="D603" s="14" t="s">
        <v>2694</v>
      </c>
      <c r="E603" s="848">
        <v>2017</v>
      </c>
      <c r="F603" s="849" t="s">
        <v>2698</v>
      </c>
      <c r="G603" s="693" t="s">
        <v>2699</v>
      </c>
      <c r="H603" s="848" t="s">
        <v>2700</v>
      </c>
      <c r="I603" s="693" t="s">
        <v>2699</v>
      </c>
      <c r="J603" s="847">
        <v>341825617</v>
      </c>
      <c r="K603" s="847">
        <v>737328306</v>
      </c>
      <c r="L603" s="841">
        <v>8479519174</v>
      </c>
      <c r="M603" s="847">
        <v>7755000749</v>
      </c>
      <c r="N603" s="839">
        <f>Indicadores[[#This Row],[Ventas]]/Indicadores[[#This Row],[Activos totales]]</f>
        <v>0.91455666174781147</v>
      </c>
      <c r="O603" s="837">
        <f>IF(Indicadores[[#This Row],[Ventas]]=0,0,Indicadores[[#This Row],[EBITDA]]/Indicadores[[#This Row],[Ventas]])</f>
        <v>9.5077786561797273E-2</v>
      </c>
      <c r="P603" s="837">
        <f>IF(Indicadores[[#This Row],[Ventas]]=0,0,Indicadores[[#This Row],[UAI]]/Indicadores[[#This Row],[Ventas]])</f>
        <v>4.4078089488782848E-2</v>
      </c>
      <c r="Q603" s="837">
        <f>IFERROR(Indicadores[[#This Row],[Ventas]]/Indicadores[[#This Row],[Activos totales]],0)</f>
        <v>0.91455666174781147</v>
      </c>
    </row>
    <row r="604" spans="1:17" x14ac:dyDescent="0.35">
      <c r="A604" s="13" t="str">
        <f>MID(Indicadores[[#This Row],[CIIU]],2,4)</f>
        <v>3313</v>
      </c>
      <c r="B604" s="13" t="str">
        <f>Indicadores[[#This Row],[CIIU]]&amp;Indicadores[[#This Row],[Año]]</f>
        <v>C33132017</v>
      </c>
      <c r="C604" s="14" t="s">
        <v>2279</v>
      </c>
      <c r="D604" s="14" t="s">
        <v>2694</v>
      </c>
      <c r="E604" s="848">
        <v>2017</v>
      </c>
      <c r="F604" s="849" t="s">
        <v>2701</v>
      </c>
      <c r="G604" s="693" t="s">
        <v>2702</v>
      </c>
      <c r="H604" s="848" t="s">
        <v>2703</v>
      </c>
      <c r="I604" s="693" t="s">
        <v>2702</v>
      </c>
      <c r="J604" s="847">
        <v>578187</v>
      </c>
      <c r="K604" s="847">
        <v>1270035</v>
      </c>
      <c r="L604" s="841">
        <v>29606828</v>
      </c>
      <c r="M604" s="847">
        <v>34441387</v>
      </c>
      <c r="N604" s="839">
        <f>Indicadores[[#This Row],[Ventas]]/Indicadores[[#This Row],[Activos totales]]</f>
        <v>1.1632920284469515</v>
      </c>
      <c r="O604" s="837">
        <f>IF(Indicadores[[#This Row],[Ventas]]=0,0,Indicadores[[#This Row],[EBITDA]]/Indicadores[[#This Row],[Ventas]])</f>
        <v>3.6875257085320051E-2</v>
      </c>
      <c r="P604" s="837">
        <f>IF(Indicadores[[#This Row],[Ventas]]=0,0,Indicadores[[#This Row],[UAI]]/Indicadores[[#This Row],[Ventas]])</f>
        <v>1.6787564333573441E-2</v>
      </c>
      <c r="Q604" s="837">
        <f>IFERROR(Indicadores[[#This Row],[Ventas]]/Indicadores[[#This Row],[Activos totales]],0)</f>
        <v>1.1632920284469515</v>
      </c>
    </row>
    <row r="605" spans="1:17" x14ac:dyDescent="0.35">
      <c r="A605" s="13" t="str">
        <f>MID(Indicadores[[#This Row],[CIIU]],2,4)</f>
        <v>3314</v>
      </c>
      <c r="B605" s="13" t="str">
        <f>Indicadores[[#This Row],[CIIU]]&amp;Indicadores[[#This Row],[Año]]</f>
        <v>C33142017</v>
      </c>
      <c r="C605" s="14" t="s">
        <v>2279</v>
      </c>
      <c r="D605" s="14" t="s">
        <v>2694</v>
      </c>
      <c r="E605" s="848">
        <v>2017</v>
      </c>
      <c r="F605" s="849" t="s">
        <v>2704</v>
      </c>
      <c r="G605" s="693" t="s">
        <v>2705</v>
      </c>
      <c r="H605" s="848" t="s">
        <v>2706</v>
      </c>
      <c r="I605" s="693" t="s">
        <v>2705</v>
      </c>
      <c r="J605" s="847">
        <v>1805426</v>
      </c>
      <c r="K605" s="847">
        <v>2199282</v>
      </c>
      <c r="L605" s="841">
        <v>17915946</v>
      </c>
      <c r="M605" s="847">
        <v>14172074</v>
      </c>
      <c r="N605" s="839">
        <f>Indicadores[[#This Row],[Ventas]]/Indicadores[[#This Row],[Activos totales]]</f>
        <v>0.79103129692398044</v>
      </c>
      <c r="O605" s="837">
        <f>IF(Indicadores[[#This Row],[Ventas]]=0,0,Indicadores[[#This Row],[EBITDA]]/Indicadores[[#This Row],[Ventas]])</f>
        <v>0.155184202396911</v>
      </c>
      <c r="P605" s="837">
        <f>IF(Indicadores[[#This Row],[Ventas]]=0,0,Indicadores[[#This Row],[UAI]]/Indicadores[[#This Row],[Ventas]])</f>
        <v>0.1273932100552114</v>
      </c>
      <c r="Q605" s="837">
        <f>IFERROR(Indicadores[[#This Row],[Ventas]]/Indicadores[[#This Row],[Activos totales]],0)</f>
        <v>0.79103129692398044</v>
      </c>
    </row>
    <row r="606" spans="1:17" x14ac:dyDescent="0.35">
      <c r="A606" s="13" t="str">
        <f>MID(Indicadores[[#This Row],[CIIU]],2,4)</f>
        <v>3315</v>
      </c>
      <c r="B606" s="13" t="str">
        <f>Indicadores[[#This Row],[CIIU]]&amp;Indicadores[[#This Row],[Año]]</f>
        <v>C33152017</v>
      </c>
      <c r="C606" s="14" t="s">
        <v>2279</v>
      </c>
      <c r="D606" s="14" t="s">
        <v>2694</v>
      </c>
      <c r="E606" s="848">
        <v>2017</v>
      </c>
      <c r="F606" s="849" t="s">
        <v>2707</v>
      </c>
      <c r="G606" s="693" t="s">
        <v>2708</v>
      </c>
      <c r="H606" s="848" t="s">
        <v>2709</v>
      </c>
      <c r="I606" s="693" t="s">
        <v>2708</v>
      </c>
      <c r="J606" s="847">
        <v>8126117</v>
      </c>
      <c r="K606" s="847">
        <v>12826779</v>
      </c>
      <c r="L606" s="841">
        <v>104351473</v>
      </c>
      <c r="M606" s="847">
        <v>85376761</v>
      </c>
      <c r="N606" s="839">
        <f>Indicadores[[#This Row],[Ventas]]/Indicadores[[#This Row],[Activos totales]]</f>
        <v>0.81816536504472726</v>
      </c>
      <c r="O606" s="837">
        <f>IF(Indicadores[[#This Row],[Ventas]]=0,0,Indicadores[[#This Row],[EBITDA]]/Indicadores[[#This Row],[Ventas]])</f>
        <v>0.15023735791522941</v>
      </c>
      <c r="P606" s="837">
        <f>IF(Indicadores[[#This Row],[Ventas]]=0,0,Indicadores[[#This Row],[UAI]]/Indicadores[[#This Row],[Ventas]])</f>
        <v>9.517949503846837E-2</v>
      </c>
      <c r="Q606" s="837">
        <f>IFERROR(Indicadores[[#This Row],[Ventas]]/Indicadores[[#This Row],[Activos totales]],0)</f>
        <v>0.81816536504472726</v>
      </c>
    </row>
    <row r="607" spans="1:17" x14ac:dyDescent="0.35">
      <c r="A607" s="13" t="str">
        <f>MID(Indicadores[[#This Row],[CIIU]],2,4)</f>
        <v>3319</v>
      </c>
      <c r="B607" s="13" t="str">
        <f>Indicadores[[#This Row],[CIIU]]&amp;Indicadores[[#This Row],[Año]]</f>
        <v>C33192017</v>
      </c>
      <c r="C607" s="14" t="s">
        <v>2279</v>
      </c>
      <c r="D607" s="14" t="s">
        <v>2694</v>
      </c>
      <c r="E607" s="848">
        <v>2017</v>
      </c>
      <c r="F607" s="849" t="s">
        <v>2710</v>
      </c>
      <c r="G607" s="693" t="s">
        <v>2711</v>
      </c>
      <c r="H607" s="848" t="s">
        <v>2712</v>
      </c>
      <c r="I607" s="693" t="s">
        <v>2711</v>
      </c>
      <c r="J607" s="847">
        <v>6332875</v>
      </c>
      <c r="K607" s="847">
        <v>7119310</v>
      </c>
      <c r="L607" s="841">
        <v>13830025</v>
      </c>
      <c r="M607" s="847">
        <v>26485857</v>
      </c>
      <c r="N607" s="839">
        <f>Indicadores[[#This Row],[Ventas]]/Indicadores[[#This Row],[Activos totales]]</f>
        <v>1.9150982735027593</v>
      </c>
      <c r="O607" s="837">
        <f>IF(Indicadores[[#This Row],[Ventas]]=0,0,Indicadores[[#This Row],[EBITDA]]/Indicadores[[#This Row],[Ventas]])</f>
        <v>0.26879666381948675</v>
      </c>
      <c r="P607" s="837">
        <f>IF(Indicadores[[#This Row],[Ventas]]=0,0,Indicadores[[#This Row],[UAI]]/Indicadores[[#This Row],[Ventas]])</f>
        <v>0.23910402446105483</v>
      </c>
      <c r="Q607" s="837">
        <f>IFERROR(Indicadores[[#This Row],[Ventas]]/Indicadores[[#This Row],[Activos totales]],0)</f>
        <v>1.9150982735027593</v>
      </c>
    </row>
    <row r="608" spans="1:17" x14ac:dyDescent="0.35">
      <c r="A608" s="13" t="str">
        <f>MID(Indicadores[[#This Row],[CIIU]],2,4)</f>
        <v>3320</v>
      </c>
      <c r="B608" s="13" t="str">
        <f>Indicadores[[#This Row],[CIIU]]&amp;Indicadores[[#This Row],[Año]]</f>
        <v>C33202017</v>
      </c>
      <c r="C608" s="14" t="s">
        <v>2279</v>
      </c>
      <c r="D608" s="14" t="s">
        <v>2694</v>
      </c>
      <c r="E608" s="848">
        <v>2017</v>
      </c>
      <c r="F608" s="849" t="s">
        <v>2713</v>
      </c>
      <c r="G608" s="693" t="s">
        <v>2714</v>
      </c>
      <c r="H608" s="848" t="s">
        <v>2715</v>
      </c>
      <c r="I608" s="693" t="s">
        <v>2716</v>
      </c>
      <c r="J608" s="847">
        <v>-20623836</v>
      </c>
      <c r="K608" s="847">
        <v>-8028538</v>
      </c>
      <c r="L608" s="841">
        <v>210374084</v>
      </c>
      <c r="M608" s="847">
        <v>163591300</v>
      </c>
      <c r="N608" s="839">
        <f>Indicadores[[#This Row],[Ventas]]/Indicadores[[#This Row],[Activos totales]]</f>
        <v>0.77762097350356141</v>
      </c>
      <c r="O608" s="837">
        <f>IF(Indicadores[[#This Row],[Ventas]]=0,0,Indicadores[[#This Row],[EBITDA]]/Indicadores[[#This Row],[Ventas]])</f>
        <v>-4.907680298402177E-2</v>
      </c>
      <c r="P608" s="837">
        <f>IF(Indicadores[[#This Row],[Ventas]]=0,0,Indicadores[[#This Row],[UAI]]/Indicadores[[#This Row],[Ventas]])</f>
        <v>-0.12606927140990995</v>
      </c>
      <c r="Q608" s="837">
        <f>IFERROR(Indicadores[[#This Row],[Ventas]]/Indicadores[[#This Row],[Activos totales]],0)</f>
        <v>0.77762097350356141</v>
      </c>
    </row>
    <row r="609" spans="1:17" hidden="1" x14ac:dyDescent="0.35">
      <c r="A609" s="13" t="str">
        <f>MID(Indicadores[[#This Row],[CIIU]],2,4)</f>
        <v>3511</v>
      </c>
      <c r="B609" s="13" t="str">
        <f>Indicadores[[#This Row],[CIIU]]&amp;Indicadores[[#This Row],[Año]]</f>
        <v>D35112017</v>
      </c>
      <c r="C609" s="14" t="s">
        <v>2717</v>
      </c>
      <c r="D609" s="14" t="s">
        <v>2718</v>
      </c>
      <c r="E609" s="848">
        <v>2017</v>
      </c>
      <c r="F609" s="849" t="s">
        <v>2719</v>
      </c>
      <c r="G609" s="693" t="s">
        <v>2720</v>
      </c>
      <c r="H609" s="848" t="s">
        <v>2721</v>
      </c>
      <c r="I609" s="693" t="s">
        <v>2720</v>
      </c>
      <c r="J609" s="847">
        <v>9457854</v>
      </c>
      <c r="K609" s="847">
        <v>23492516</v>
      </c>
      <c r="L609" s="841">
        <v>428123532</v>
      </c>
      <c r="M609" s="847">
        <v>96284252</v>
      </c>
      <c r="N609" s="839">
        <f>Indicadores[[#This Row],[Ventas]]/Indicadores[[#This Row],[Activos totales]]</f>
        <v>0.2248982940746177</v>
      </c>
      <c r="O609" s="837">
        <f>IF(Indicadores[[#This Row],[Ventas]]=0,0,Indicadores[[#This Row],[EBITDA]]/Indicadores[[#This Row],[Ventas]])</f>
        <v>0.24399126037765761</v>
      </c>
      <c r="P609" s="837">
        <f>IF(Indicadores[[#This Row],[Ventas]]=0,0,Indicadores[[#This Row],[UAI]]/Indicadores[[#This Row],[Ventas]])</f>
        <v>9.8228462116525556E-2</v>
      </c>
      <c r="Q609" s="837">
        <f>IFERROR(Indicadores[[#This Row],[Ventas]]/Indicadores[[#This Row],[Activos totales]],0)</f>
        <v>0.2248982940746177</v>
      </c>
    </row>
    <row r="610" spans="1:17" hidden="1" x14ac:dyDescent="0.35">
      <c r="A610" s="13" t="str">
        <f>MID(Indicadores[[#This Row],[CIIU]],2,4)</f>
        <v>3512</v>
      </c>
      <c r="B610" s="13" t="str">
        <f>Indicadores[[#This Row],[CIIU]]&amp;Indicadores[[#This Row],[Año]]</f>
        <v>D35122017</v>
      </c>
      <c r="C610" s="14" t="s">
        <v>2717</v>
      </c>
      <c r="D610" s="14" t="s">
        <v>2718</v>
      </c>
      <c r="E610" s="848">
        <v>2017</v>
      </c>
      <c r="F610" s="849" t="s">
        <v>2722</v>
      </c>
      <c r="G610" s="838" t="s">
        <v>2723</v>
      </c>
      <c r="H610" s="848" t="s">
        <v>2724</v>
      </c>
      <c r="I610" s="693" t="s">
        <v>2723</v>
      </c>
      <c r="J610" s="847">
        <v>8693621</v>
      </c>
      <c r="K610" s="847">
        <v>348285</v>
      </c>
      <c r="L610" s="841">
        <v>90144580</v>
      </c>
      <c r="M610" s="847">
        <v>3536136</v>
      </c>
      <c r="N610" s="839">
        <f>Indicadores[[#This Row],[Ventas]]/Indicadores[[#This Row],[Activos totales]]</f>
        <v>3.9227383387886436E-2</v>
      </c>
      <c r="O610" s="837">
        <f>IF(Indicadores[[#This Row],[Ventas]]=0,0,Indicadores[[#This Row],[EBITDA]]/Indicadores[[#This Row],[Ventas]])</f>
        <v>9.8493100944081341E-2</v>
      </c>
      <c r="P610" s="837">
        <f>IF(Indicadores[[#This Row],[Ventas]]=0,0,Indicadores[[#This Row],[UAI]]/Indicadores[[#This Row],[Ventas]])</f>
        <v>2.4585086659562867</v>
      </c>
      <c r="Q610" s="837">
        <f>IFERROR(Indicadores[[#This Row],[Ventas]]/Indicadores[[#This Row],[Activos totales]],0)</f>
        <v>3.9227383387886436E-2</v>
      </c>
    </row>
    <row r="611" spans="1:17" hidden="1" x14ac:dyDescent="0.35">
      <c r="A611" s="13" t="str">
        <f>MID(Indicadores[[#This Row],[CIIU]],2,4)</f>
        <v>3513</v>
      </c>
      <c r="B611" s="13" t="str">
        <f>Indicadores[[#This Row],[CIIU]]&amp;Indicadores[[#This Row],[Año]]</f>
        <v>D35132017</v>
      </c>
      <c r="C611" s="14" t="s">
        <v>2717</v>
      </c>
      <c r="D611" s="14" t="s">
        <v>2718</v>
      </c>
      <c r="E611" s="848">
        <v>2017</v>
      </c>
      <c r="F611" s="849" t="s">
        <v>2725</v>
      </c>
      <c r="G611" s="838" t="e">
        <v>#N/A</v>
      </c>
      <c r="H611" s="848" t="s">
        <v>2726</v>
      </c>
      <c r="I611" s="693" t="s">
        <v>2727</v>
      </c>
      <c r="J611" s="847">
        <v>4842498</v>
      </c>
      <c r="K611" s="847">
        <v>-13943069</v>
      </c>
      <c r="L611" s="841">
        <v>187853383</v>
      </c>
      <c r="M611" s="847">
        <v>0</v>
      </c>
      <c r="N611" s="839">
        <f>Indicadores[[#This Row],[Ventas]]/Indicadores[[#This Row],[Activos totales]]</f>
        <v>0</v>
      </c>
      <c r="O611" s="837">
        <f>IF(Indicadores[[#This Row],[Ventas]]=0,0,Indicadores[[#This Row],[EBITDA]]/Indicadores[[#This Row],[Ventas]])</f>
        <v>0</v>
      </c>
      <c r="P611" s="837">
        <f>IF(Indicadores[[#This Row],[Ventas]]=0,0,Indicadores[[#This Row],[UAI]]/Indicadores[[#This Row],[Ventas]])</f>
        <v>0</v>
      </c>
      <c r="Q611" s="837">
        <f>IFERROR(Indicadores[[#This Row],[Ventas]]/Indicadores[[#This Row],[Activos totales]],0)</f>
        <v>0</v>
      </c>
    </row>
    <row r="612" spans="1:17" hidden="1" x14ac:dyDescent="0.35">
      <c r="A612" s="13" t="str">
        <f>MID(Indicadores[[#This Row],[CIIU]],2,4)</f>
        <v>3514</v>
      </c>
      <c r="B612" s="13" t="str">
        <f>Indicadores[[#This Row],[CIIU]]&amp;Indicadores[[#This Row],[Año]]</f>
        <v>D35142017</v>
      </c>
      <c r="C612" s="14" t="s">
        <v>2717</v>
      </c>
      <c r="D612" s="14" t="s">
        <v>2718</v>
      </c>
      <c r="E612" s="848">
        <v>2017</v>
      </c>
      <c r="F612" s="849" t="s">
        <v>2728</v>
      </c>
      <c r="G612" s="693" t="s">
        <v>2729</v>
      </c>
      <c r="H612" s="848" t="s">
        <v>2730</v>
      </c>
      <c r="I612" s="693" t="s">
        <v>2729</v>
      </c>
      <c r="J612" s="847">
        <v>2240822</v>
      </c>
      <c r="K612" s="847">
        <v>2269713</v>
      </c>
      <c r="L612" s="841">
        <v>14712300</v>
      </c>
      <c r="M612" s="847">
        <v>16981679</v>
      </c>
      <c r="N612" s="839">
        <f>Indicadores[[#This Row],[Ventas]]/Indicadores[[#This Row],[Activos totales]]</f>
        <v>1.1542504571005214</v>
      </c>
      <c r="O612" s="837">
        <f>IF(Indicadores[[#This Row],[Ventas]]=0,0,Indicadores[[#This Row],[EBITDA]]/Indicadores[[#This Row],[Ventas]])</f>
        <v>0.13365657188550084</v>
      </c>
      <c r="P612" s="837">
        <f>IF(Indicadores[[#This Row],[Ventas]]=0,0,Indicadores[[#This Row],[UAI]]/Indicadores[[#This Row],[Ventas]])</f>
        <v>0.13195526779183614</v>
      </c>
      <c r="Q612" s="837">
        <f>IFERROR(Indicadores[[#This Row],[Ventas]]/Indicadores[[#This Row],[Activos totales]],0)</f>
        <v>1.1542504571005214</v>
      </c>
    </row>
    <row r="613" spans="1:17" hidden="1" x14ac:dyDescent="0.35">
      <c r="A613" s="13" t="str">
        <f>MID(Indicadores[[#This Row],[CIIU]],2,4)</f>
        <v>3520</v>
      </c>
      <c r="B613" s="13" t="str">
        <f>Indicadores[[#This Row],[CIIU]]&amp;Indicadores[[#This Row],[Año]]</f>
        <v>D35202017</v>
      </c>
      <c r="C613" s="14" t="s">
        <v>2717</v>
      </c>
      <c r="D613" s="14" t="s">
        <v>2718</v>
      </c>
      <c r="E613" s="848">
        <v>2017</v>
      </c>
      <c r="F613" s="849" t="s">
        <v>2731</v>
      </c>
      <c r="G613" s="693" t="s">
        <v>2732</v>
      </c>
      <c r="H613" s="848" t="s">
        <v>2733</v>
      </c>
      <c r="I613" s="693" t="s">
        <v>2732</v>
      </c>
      <c r="J613" s="847">
        <v>-336739</v>
      </c>
      <c r="K613" s="847">
        <v>155204</v>
      </c>
      <c r="L613" s="841">
        <v>16061622</v>
      </c>
      <c r="M613" s="847">
        <v>31416868</v>
      </c>
      <c r="N613" s="839">
        <f>Indicadores[[#This Row],[Ventas]]/Indicadores[[#This Row],[Activos totales]]</f>
        <v>1.9560208800829704</v>
      </c>
      <c r="O613" s="837">
        <f>IF(Indicadores[[#This Row],[Ventas]]=0,0,Indicadores[[#This Row],[EBITDA]]/Indicadores[[#This Row],[Ventas]])</f>
        <v>4.9401487124687282E-3</v>
      </c>
      <c r="P613" s="837">
        <f>IF(Indicadores[[#This Row],[Ventas]]=0,0,Indicadores[[#This Row],[UAI]]/Indicadores[[#This Row],[Ventas]])</f>
        <v>-1.0718414069792062E-2</v>
      </c>
      <c r="Q613" s="837">
        <f>IFERROR(Indicadores[[#This Row],[Ventas]]/Indicadores[[#This Row],[Activos totales]],0)</f>
        <v>1.9560208800829704</v>
      </c>
    </row>
    <row r="614" spans="1:17" hidden="1" x14ac:dyDescent="0.35">
      <c r="A614" s="13" t="str">
        <f>MID(Indicadores[[#This Row],[CIIU]],2,4)</f>
        <v>3530</v>
      </c>
      <c r="B614" s="13" t="str">
        <f>Indicadores[[#This Row],[CIIU]]&amp;Indicadores[[#This Row],[Año]]</f>
        <v>D35302017</v>
      </c>
      <c r="C614" s="14" t="s">
        <v>2717</v>
      </c>
      <c r="D614" s="14" t="s">
        <v>2718</v>
      </c>
      <c r="E614" s="848">
        <v>2017</v>
      </c>
      <c r="F614" s="849" t="s">
        <v>2734</v>
      </c>
      <c r="G614" s="693" t="s">
        <v>2735</v>
      </c>
      <c r="H614" s="848" t="s">
        <v>2736</v>
      </c>
      <c r="I614" s="693" t="s">
        <v>2735</v>
      </c>
      <c r="J614" s="847">
        <v>1943433</v>
      </c>
      <c r="K614" s="847">
        <v>4215918</v>
      </c>
      <c r="L614" s="841">
        <v>36411790</v>
      </c>
      <c r="M614" s="847">
        <v>14684484</v>
      </c>
      <c r="N614" s="839">
        <f>Indicadores[[#This Row],[Ventas]]/Indicadores[[#This Row],[Activos totales]]</f>
        <v>0.40328926427401673</v>
      </c>
      <c r="O614" s="837">
        <f>IF(Indicadores[[#This Row],[Ventas]]=0,0,Indicadores[[#This Row],[EBITDA]]/Indicadores[[#This Row],[Ventas]])</f>
        <v>0.28710018002675475</v>
      </c>
      <c r="P614" s="837">
        <f>IF(Indicadores[[#This Row],[Ventas]]=0,0,Indicadores[[#This Row],[UAI]]/Indicadores[[#This Row],[Ventas]])</f>
        <v>0.13234601910424637</v>
      </c>
      <c r="Q614" s="837">
        <f>IFERROR(Indicadores[[#This Row],[Ventas]]/Indicadores[[#This Row],[Activos totales]],0)</f>
        <v>0.40328926427401673</v>
      </c>
    </row>
    <row r="615" spans="1:17" hidden="1" x14ac:dyDescent="0.35">
      <c r="A615" s="13" t="str">
        <f>MID(Indicadores[[#This Row],[CIIU]],2,4)</f>
        <v>3600</v>
      </c>
      <c r="B615" s="13" t="str">
        <f>Indicadores[[#This Row],[CIIU]]&amp;Indicadores[[#This Row],[Año]]</f>
        <v>E36002017</v>
      </c>
      <c r="C615" s="14" t="s">
        <v>2737</v>
      </c>
      <c r="D615" s="14" t="s">
        <v>2738</v>
      </c>
      <c r="E615" s="848">
        <v>2017</v>
      </c>
      <c r="F615" s="849" t="s">
        <v>2739</v>
      </c>
      <c r="G615" s="693" t="s">
        <v>2740</v>
      </c>
      <c r="H615" s="848" t="s">
        <v>2741</v>
      </c>
      <c r="I615" s="693" t="s">
        <v>2740</v>
      </c>
      <c r="J615" s="847">
        <v>2829053</v>
      </c>
      <c r="K615" s="847">
        <v>7531736</v>
      </c>
      <c r="L615" s="841">
        <v>71988624</v>
      </c>
      <c r="M615" s="847">
        <v>161767356</v>
      </c>
      <c r="N615" s="839">
        <f>Indicadores[[#This Row],[Ventas]]/Indicadores[[#This Row],[Activos totales]]</f>
        <v>2.2471238789062005</v>
      </c>
      <c r="O615" s="837">
        <f>IF(Indicadores[[#This Row],[Ventas]]=0,0,Indicadores[[#This Row],[EBITDA]]/Indicadores[[#This Row],[Ventas]])</f>
        <v>4.6559059789541224E-2</v>
      </c>
      <c r="P615" s="837">
        <f>IF(Indicadores[[#This Row],[Ventas]]=0,0,Indicadores[[#This Row],[UAI]]/Indicadores[[#This Row],[Ventas]])</f>
        <v>1.748840476814123E-2</v>
      </c>
      <c r="Q615" s="837">
        <f>IFERROR(Indicadores[[#This Row],[Ventas]]/Indicadores[[#This Row],[Activos totales]],0)</f>
        <v>2.2471238789062005</v>
      </c>
    </row>
    <row r="616" spans="1:17" hidden="1" x14ac:dyDescent="0.35">
      <c r="A616" s="13" t="str">
        <f>MID(Indicadores[[#This Row],[CIIU]],2,4)</f>
        <v>3700</v>
      </c>
      <c r="B616" s="13" t="str">
        <f>Indicadores[[#This Row],[CIIU]]&amp;Indicadores[[#This Row],[Año]]</f>
        <v>E37002017</v>
      </c>
      <c r="C616" s="14" t="s">
        <v>2737</v>
      </c>
      <c r="D616" s="14" t="s">
        <v>2742</v>
      </c>
      <c r="E616" s="848">
        <v>2017</v>
      </c>
      <c r="F616" s="849" t="s">
        <v>2743</v>
      </c>
      <c r="G616" s="693" t="s">
        <v>2744</v>
      </c>
      <c r="H616" s="848" t="s">
        <v>2745</v>
      </c>
      <c r="I616" s="693" t="s">
        <v>2744</v>
      </c>
      <c r="J616" s="847">
        <v>3698913</v>
      </c>
      <c r="K616" s="847">
        <v>5630479</v>
      </c>
      <c r="L616" s="841">
        <v>40843074</v>
      </c>
      <c r="M616" s="847">
        <v>26583296</v>
      </c>
      <c r="N616" s="839">
        <f>Indicadores[[#This Row],[Ventas]]/Indicadores[[#This Row],[Activos totales]]</f>
        <v>0.65086423220739942</v>
      </c>
      <c r="O616" s="837">
        <f>IF(Indicadores[[#This Row],[Ventas]]=0,0,Indicadores[[#This Row],[EBITDA]]/Indicadores[[#This Row],[Ventas]])</f>
        <v>0.21180515012133935</v>
      </c>
      <c r="P616" s="837">
        <f>IF(Indicadores[[#This Row],[Ventas]]=0,0,Indicadores[[#This Row],[UAI]]/Indicadores[[#This Row],[Ventas]])</f>
        <v>0.13914425810855058</v>
      </c>
      <c r="Q616" s="837">
        <f>IFERROR(Indicadores[[#This Row],[Ventas]]/Indicadores[[#This Row],[Activos totales]],0)</f>
        <v>0.65086423220739942</v>
      </c>
    </row>
    <row r="617" spans="1:17" hidden="1" x14ac:dyDescent="0.35">
      <c r="A617" s="13" t="str">
        <f>MID(Indicadores[[#This Row],[CIIU]],2,4)</f>
        <v>3811</v>
      </c>
      <c r="B617" s="13" t="str">
        <f>Indicadores[[#This Row],[CIIU]]&amp;Indicadores[[#This Row],[Año]]</f>
        <v>E38112017</v>
      </c>
      <c r="C617" s="14" t="s">
        <v>2737</v>
      </c>
      <c r="D617" s="14" t="s">
        <v>2746</v>
      </c>
      <c r="E617" s="848">
        <v>2017</v>
      </c>
      <c r="F617" s="849" t="s">
        <v>2747</v>
      </c>
      <c r="G617" s="693" t="s">
        <v>2748</v>
      </c>
      <c r="H617" s="848" t="s">
        <v>2749</v>
      </c>
      <c r="I617" s="693" t="s">
        <v>2748</v>
      </c>
      <c r="J617" s="847">
        <v>-4349408</v>
      </c>
      <c r="K617" s="847">
        <v>924981</v>
      </c>
      <c r="L617" s="841">
        <v>244155055</v>
      </c>
      <c r="M617" s="847">
        <v>59066938</v>
      </c>
      <c r="N617" s="839">
        <f>Indicadores[[#This Row],[Ventas]]/Indicadores[[#This Row],[Activos totales]]</f>
        <v>0.24192387906938892</v>
      </c>
      <c r="O617" s="837">
        <f>IF(Indicadores[[#This Row],[Ventas]]=0,0,Indicadores[[#This Row],[EBITDA]]/Indicadores[[#This Row],[Ventas]])</f>
        <v>1.5659877273475731E-2</v>
      </c>
      <c r="P617" s="837">
        <f>IF(Indicadores[[#This Row],[Ventas]]=0,0,Indicadores[[#This Row],[UAI]]/Indicadores[[#This Row],[Ventas]])</f>
        <v>-7.3635237364090209E-2</v>
      </c>
      <c r="Q617" s="837">
        <f>IFERROR(Indicadores[[#This Row],[Ventas]]/Indicadores[[#This Row],[Activos totales]],0)</f>
        <v>0.24192387906938892</v>
      </c>
    </row>
    <row r="618" spans="1:17" hidden="1" x14ac:dyDescent="0.35">
      <c r="A618" s="13" t="str">
        <f>MID(Indicadores[[#This Row],[CIIU]],2,4)</f>
        <v>3821</v>
      </c>
      <c r="B618" s="13" t="str">
        <f>Indicadores[[#This Row],[CIIU]]&amp;Indicadores[[#This Row],[Año]]</f>
        <v>E38212017</v>
      </c>
      <c r="C618" s="14" t="s">
        <v>2737</v>
      </c>
      <c r="D618" s="14" t="s">
        <v>2746</v>
      </c>
      <c r="E618" s="848">
        <v>2017</v>
      </c>
      <c r="F618" s="849" t="s">
        <v>2750</v>
      </c>
      <c r="G618" s="838" t="s">
        <v>2751</v>
      </c>
      <c r="H618" s="848" t="s">
        <v>2752</v>
      </c>
      <c r="I618" s="693" t="s">
        <v>2751</v>
      </c>
      <c r="J618" s="847">
        <v>-222989</v>
      </c>
      <c r="K618" s="847">
        <v>116923</v>
      </c>
      <c r="L618" s="841">
        <v>3707811</v>
      </c>
      <c r="M618" s="847">
        <v>4322233</v>
      </c>
      <c r="N618" s="839">
        <f>Indicadores[[#This Row],[Ventas]]/Indicadores[[#This Row],[Activos totales]]</f>
        <v>1.1657101723901244</v>
      </c>
      <c r="O618" s="837">
        <f>IF(Indicadores[[#This Row],[Ventas]]=0,0,Indicadores[[#This Row],[EBITDA]]/Indicadores[[#This Row],[Ventas]])</f>
        <v>2.7051526375371251E-2</v>
      </c>
      <c r="P618" s="837">
        <f>IF(Indicadores[[#This Row],[Ventas]]=0,0,Indicadores[[#This Row],[UAI]]/Indicadores[[#This Row],[Ventas]])</f>
        <v>-5.1591156700714652E-2</v>
      </c>
      <c r="Q618" s="837">
        <f>IFERROR(Indicadores[[#This Row],[Ventas]]/Indicadores[[#This Row],[Activos totales]],0)</f>
        <v>1.1657101723901244</v>
      </c>
    </row>
    <row r="619" spans="1:17" hidden="1" x14ac:dyDescent="0.35">
      <c r="A619" s="13" t="str">
        <f>MID(Indicadores[[#This Row],[CIIU]],2,4)</f>
        <v>3822</v>
      </c>
      <c r="B619" s="13" t="str">
        <f>Indicadores[[#This Row],[CIIU]]&amp;Indicadores[[#This Row],[Año]]</f>
        <v>E38222017</v>
      </c>
      <c r="C619" s="14" t="s">
        <v>2737</v>
      </c>
      <c r="D619" s="14" t="s">
        <v>2746</v>
      </c>
      <c r="E619" s="848">
        <v>2017</v>
      </c>
      <c r="F619" s="849" t="s">
        <v>2753</v>
      </c>
      <c r="G619" s="693" t="s">
        <v>2754</v>
      </c>
      <c r="H619" s="848" t="s">
        <v>2755</v>
      </c>
      <c r="I619" s="693" t="s">
        <v>2754</v>
      </c>
      <c r="J619" s="847">
        <v>-841386</v>
      </c>
      <c r="K619" s="847">
        <v>698652</v>
      </c>
      <c r="L619" s="841">
        <v>15986037</v>
      </c>
      <c r="M619" s="847">
        <v>8269340</v>
      </c>
      <c r="N619" s="839">
        <f>Indicadores[[#This Row],[Ventas]]/Indicadores[[#This Row],[Activos totales]]</f>
        <v>0.51728517830904552</v>
      </c>
      <c r="O619" s="837">
        <f>IF(Indicadores[[#This Row],[Ventas]]=0,0,Indicadores[[#This Row],[EBITDA]]/Indicadores[[#This Row],[Ventas]])</f>
        <v>8.4487032822450153E-2</v>
      </c>
      <c r="P619" s="837">
        <f>IF(Indicadores[[#This Row],[Ventas]]=0,0,Indicadores[[#This Row],[UAI]]/Indicadores[[#This Row],[Ventas]])</f>
        <v>-0.10174766063555253</v>
      </c>
      <c r="Q619" s="837">
        <f>IFERROR(Indicadores[[#This Row],[Ventas]]/Indicadores[[#This Row],[Activos totales]],0)</f>
        <v>0.51728517830904552</v>
      </c>
    </row>
    <row r="620" spans="1:17" hidden="1" x14ac:dyDescent="0.35">
      <c r="A620" s="13" t="str">
        <f>MID(Indicadores[[#This Row],[CIIU]],2,4)</f>
        <v>3830</v>
      </c>
      <c r="B620" s="13" t="str">
        <f>Indicadores[[#This Row],[CIIU]]&amp;Indicadores[[#This Row],[Año]]</f>
        <v>E38302017</v>
      </c>
      <c r="C620" s="14" t="s">
        <v>2737</v>
      </c>
      <c r="D620" s="14" t="s">
        <v>2746</v>
      </c>
      <c r="E620" s="848">
        <v>2017</v>
      </c>
      <c r="F620" s="849" t="s">
        <v>2756</v>
      </c>
      <c r="G620" s="693" t="s">
        <v>2757</v>
      </c>
      <c r="H620" s="848" t="s">
        <v>2758</v>
      </c>
      <c r="I620" s="693" t="s">
        <v>2757</v>
      </c>
      <c r="J620" s="847">
        <v>-1808817</v>
      </c>
      <c r="K620" s="847">
        <v>9294398</v>
      </c>
      <c r="L620" s="841">
        <v>175517015</v>
      </c>
      <c r="M620" s="847">
        <v>142139974</v>
      </c>
      <c r="N620" s="839">
        <f>Indicadores[[#This Row],[Ventas]]/Indicadores[[#This Row],[Activos totales]]</f>
        <v>0.80983586691011122</v>
      </c>
      <c r="O620" s="833">
        <f>IF(Indicadores[[#This Row],[Ventas]]=0,0,Indicadores[[#This Row],[EBITDA]]/Indicadores[[#This Row],[Ventas]])</f>
        <v>6.5389050936508542E-2</v>
      </c>
      <c r="P620" s="833">
        <f>IF(Indicadores[[#This Row],[Ventas]]=0,0,Indicadores[[#This Row],[UAI]]/Indicadores[[#This Row],[Ventas]])</f>
        <v>-1.2725603847373717E-2</v>
      </c>
      <c r="Q620" s="833">
        <f>IFERROR(Indicadores[[#This Row],[Ventas]]/Indicadores[[#This Row],[Activos totales]],0)</f>
        <v>0.80983586691011122</v>
      </c>
    </row>
    <row r="621" spans="1:17" hidden="1" x14ac:dyDescent="0.35">
      <c r="A621" s="13" t="str">
        <f>MID(Indicadores[[#This Row],[CIIU]],2,4)</f>
        <v>3900</v>
      </c>
      <c r="B621" s="13" t="str">
        <f>Indicadores[[#This Row],[CIIU]]&amp;Indicadores[[#This Row],[Año]]</f>
        <v>E39002017</v>
      </c>
      <c r="C621" s="14" t="s">
        <v>2737</v>
      </c>
      <c r="D621" s="14" t="s">
        <v>2759</v>
      </c>
      <c r="E621" s="848">
        <v>2017</v>
      </c>
      <c r="F621" s="849" t="s">
        <v>2760</v>
      </c>
      <c r="G621" s="693" t="s">
        <v>2761</v>
      </c>
      <c r="H621" s="848" t="s">
        <v>2762</v>
      </c>
      <c r="I621" s="693" t="s">
        <v>2761</v>
      </c>
      <c r="J621" s="847">
        <v>1152706</v>
      </c>
      <c r="K621" s="847">
        <v>1660020</v>
      </c>
      <c r="L621" s="841">
        <v>33032823</v>
      </c>
      <c r="M621" s="847">
        <v>24346267</v>
      </c>
      <c r="N621" s="839">
        <f>Indicadores[[#This Row],[Ventas]]/Indicadores[[#This Row],[Activos totales]]</f>
        <v>0.73703258725419862</v>
      </c>
      <c r="O621" s="837">
        <f>IF(Indicadores[[#This Row],[Ventas]]=0,0,Indicadores[[#This Row],[EBITDA]]/Indicadores[[#This Row],[Ventas]])</f>
        <v>6.8183758931091978E-2</v>
      </c>
      <c r="P621" s="837">
        <f>IF(Indicadores[[#This Row],[Ventas]]=0,0,Indicadores[[#This Row],[UAI]]/Indicadores[[#This Row],[Ventas]])</f>
        <v>4.734631391334039E-2</v>
      </c>
      <c r="Q621" s="837">
        <f>IFERROR(Indicadores[[#This Row],[Ventas]]/Indicadores[[#This Row],[Activos totales]],0)</f>
        <v>0.73703258725419862</v>
      </c>
    </row>
    <row r="622" spans="1:17" hidden="1" x14ac:dyDescent="0.35">
      <c r="A622" s="13" t="str">
        <f>MID(Indicadores[[#This Row],[CIIU]],2,4)</f>
        <v>4111</v>
      </c>
      <c r="B622" s="13" t="str">
        <f>Indicadores[[#This Row],[CIIU]]&amp;Indicadores[[#This Row],[Año]]</f>
        <v>F41112017</v>
      </c>
      <c r="C622" s="14" t="s">
        <v>2763</v>
      </c>
      <c r="D622" s="14" t="s">
        <v>2764</v>
      </c>
      <c r="E622" s="848">
        <v>2017</v>
      </c>
      <c r="F622" s="849" t="s">
        <v>2765</v>
      </c>
      <c r="G622" s="693" t="s">
        <v>2766</v>
      </c>
      <c r="H622" s="848" t="s">
        <v>2767</v>
      </c>
      <c r="I622" s="693" t="s">
        <v>2766</v>
      </c>
      <c r="J622" s="847">
        <v>1793440927</v>
      </c>
      <c r="K622" s="847">
        <v>2191083870</v>
      </c>
      <c r="L622" s="841">
        <v>41784768730</v>
      </c>
      <c r="M622" s="847">
        <v>13422673642</v>
      </c>
      <c r="N622" s="839">
        <f>Indicadores[[#This Row],[Ventas]]/Indicadores[[#This Row],[Activos totales]]</f>
        <v>0.32123364685187283</v>
      </c>
      <c r="O622" s="837">
        <f>IF(Indicadores[[#This Row],[Ventas]]=0,0,Indicadores[[#This Row],[EBITDA]]/Indicadores[[#This Row],[Ventas]])</f>
        <v>0.16323751351176596</v>
      </c>
      <c r="P622" s="837">
        <f>IF(Indicadores[[#This Row],[Ventas]]=0,0,Indicadores[[#This Row],[UAI]]/Indicadores[[#This Row],[Ventas]])</f>
        <v>0.13361279390629469</v>
      </c>
      <c r="Q622" s="837">
        <f>IFERROR(Indicadores[[#This Row],[Ventas]]/Indicadores[[#This Row],[Activos totales]],0)</f>
        <v>0.32123364685187283</v>
      </c>
    </row>
    <row r="623" spans="1:17" hidden="1" x14ac:dyDescent="0.35">
      <c r="A623" s="13" t="str">
        <f>MID(Indicadores[[#This Row],[CIIU]],2,4)</f>
        <v>4112</v>
      </c>
      <c r="B623" s="13" t="str">
        <f>Indicadores[[#This Row],[CIIU]]&amp;Indicadores[[#This Row],[Año]]</f>
        <v>F41122017</v>
      </c>
      <c r="C623" s="14" t="s">
        <v>2763</v>
      </c>
      <c r="D623" s="14" t="s">
        <v>2764</v>
      </c>
      <c r="E623" s="848">
        <v>2017</v>
      </c>
      <c r="F623" s="849" t="s">
        <v>2768</v>
      </c>
      <c r="G623" s="693" t="s">
        <v>2769</v>
      </c>
      <c r="H623" s="848" t="s">
        <v>2770</v>
      </c>
      <c r="I623" s="693" t="s">
        <v>2769</v>
      </c>
      <c r="J623" s="847">
        <v>220822613.53999999</v>
      </c>
      <c r="K623" s="847">
        <v>319745753.95000005</v>
      </c>
      <c r="L623" s="841">
        <v>5892243804.4399996</v>
      </c>
      <c r="M623" s="847">
        <v>1951262519.6500001</v>
      </c>
      <c r="N623" s="839">
        <f>Indicadores[[#This Row],[Ventas]]/Indicadores[[#This Row],[Activos totales]]</f>
        <v>0.33115780412542667</v>
      </c>
      <c r="O623" s="837">
        <f>IF(Indicadores[[#This Row],[Ventas]]=0,0,Indicadores[[#This Row],[EBITDA]]/Indicadores[[#This Row],[Ventas]])</f>
        <v>0.16386608707441025</v>
      </c>
      <c r="P623" s="837">
        <f>IF(Indicadores[[#This Row],[Ventas]]=0,0,Indicadores[[#This Row],[UAI]]/Indicadores[[#This Row],[Ventas]])</f>
        <v>0.11316909504294131</v>
      </c>
      <c r="Q623" s="837">
        <f>IFERROR(Indicadores[[#This Row],[Ventas]]/Indicadores[[#This Row],[Activos totales]],0)</f>
        <v>0.33115780412542667</v>
      </c>
    </row>
    <row r="624" spans="1:17" hidden="1" x14ac:dyDescent="0.35">
      <c r="A624" s="13" t="str">
        <f>MID(Indicadores[[#This Row],[CIIU]],2,4)</f>
        <v>4210</v>
      </c>
      <c r="B624" s="13" t="str">
        <f>Indicadores[[#This Row],[CIIU]]&amp;Indicadores[[#This Row],[Año]]</f>
        <v>F42102017</v>
      </c>
      <c r="C624" s="14" t="s">
        <v>2763</v>
      </c>
      <c r="D624" s="14" t="s">
        <v>2771</v>
      </c>
      <c r="E624" s="848">
        <v>2017</v>
      </c>
      <c r="F624" s="849" t="s">
        <v>2772</v>
      </c>
      <c r="G624" s="693" t="s">
        <v>2773</v>
      </c>
      <c r="H624" s="848" t="s">
        <v>2774</v>
      </c>
      <c r="I624" s="693" t="s">
        <v>2773</v>
      </c>
      <c r="J624" s="847">
        <v>502714890</v>
      </c>
      <c r="K624" s="847">
        <v>845139738</v>
      </c>
      <c r="L624" s="841">
        <v>14867952495</v>
      </c>
      <c r="M624" s="847">
        <v>6200403189</v>
      </c>
      <c r="N624" s="839">
        <f>Indicadores[[#This Row],[Ventas]]/Indicadores[[#This Row],[Activos totales]]</f>
        <v>0.41703140974422381</v>
      </c>
      <c r="O624" s="837">
        <f>IF(Indicadores[[#This Row],[Ventas]]=0,0,Indicadores[[#This Row],[EBITDA]]/Indicadores[[#This Row],[Ventas]])</f>
        <v>0.13630399705286003</v>
      </c>
      <c r="P624" s="837">
        <f>IF(Indicadores[[#This Row],[Ventas]]=0,0,Indicadores[[#This Row],[UAI]]/Indicadores[[#This Row],[Ventas]])</f>
        <v>8.1077774247303058E-2</v>
      </c>
      <c r="Q624" s="837">
        <f>IFERROR(Indicadores[[#This Row],[Ventas]]/Indicadores[[#This Row],[Activos totales]],0)</f>
        <v>0.41703140974422381</v>
      </c>
    </row>
    <row r="625" spans="1:17" hidden="1" x14ac:dyDescent="0.35">
      <c r="A625" s="13" t="str">
        <f>MID(Indicadores[[#This Row],[CIIU]],2,4)</f>
        <v>4220</v>
      </c>
      <c r="B625" s="13" t="str">
        <f>Indicadores[[#This Row],[CIIU]]&amp;Indicadores[[#This Row],[Año]]</f>
        <v>F42202017</v>
      </c>
      <c r="C625" s="14" t="s">
        <v>2763</v>
      </c>
      <c r="D625" s="14" t="s">
        <v>2771</v>
      </c>
      <c r="E625" s="848">
        <v>2017</v>
      </c>
      <c r="F625" s="849" t="s">
        <v>2775</v>
      </c>
      <c r="G625" s="693" t="s">
        <v>2776</v>
      </c>
      <c r="H625" s="848" t="s">
        <v>2777</v>
      </c>
      <c r="I625" s="693" t="s">
        <v>2776</v>
      </c>
      <c r="J625" s="847">
        <v>32729069</v>
      </c>
      <c r="K625" s="847">
        <v>53404059</v>
      </c>
      <c r="L625" s="841">
        <v>872686525</v>
      </c>
      <c r="M625" s="847">
        <v>1062553918</v>
      </c>
      <c r="N625" s="839">
        <f>Indicadores[[#This Row],[Ventas]]/Indicadores[[#This Row],[Activos totales]]</f>
        <v>1.2175665460171967</v>
      </c>
      <c r="O625" s="837">
        <f>IF(Indicadores[[#This Row],[Ventas]]=0,0,Indicadores[[#This Row],[EBITDA]]/Indicadores[[#This Row],[Ventas]])</f>
        <v>5.0260093248275052E-2</v>
      </c>
      <c r="P625" s="837">
        <f>IF(Indicadores[[#This Row],[Ventas]]=0,0,Indicadores[[#This Row],[UAI]]/Indicadores[[#This Row],[Ventas]])</f>
        <v>3.0802266544369374E-2</v>
      </c>
      <c r="Q625" s="837">
        <f>IFERROR(Indicadores[[#This Row],[Ventas]]/Indicadores[[#This Row],[Activos totales]],0)</f>
        <v>1.2175665460171967</v>
      </c>
    </row>
    <row r="626" spans="1:17" hidden="1" x14ac:dyDescent="0.35">
      <c r="A626" s="13" t="str">
        <f>MID(Indicadores[[#This Row],[CIIU]],2,4)</f>
        <v>4290</v>
      </c>
      <c r="B626" s="13" t="str">
        <f>Indicadores[[#This Row],[CIIU]]&amp;Indicadores[[#This Row],[Año]]</f>
        <v>F42902017</v>
      </c>
      <c r="C626" s="14" t="s">
        <v>2763</v>
      </c>
      <c r="D626" s="14" t="s">
        <v>2771</v>
      </c>
      <c r="E626" s="848">
        <v>2017</v>
      </c>
      <c r="F626" s="849" t="s">
        <v>2778</v>
      </c>
      <c r="G626" s="693" t="s">
        <v>2779</v>
      </c>
      <c r="H626" s="848" t="s">
        <v>2780</v>
      </c>
      <c r="I626" s="693" t="s">
        <v>2779</v>
      </c>
      <c r="J626" s="847">
        <v>542281847.59000003</v>
      </c>
      <c r="K626" s="847">
        <v>978221227.20000005</v>
      </c>
      <c r="L626" s="841">
        <v>18565530246.150002</v>
      </c>
      <c r="M626" s="847">
        <v>9632147133</v>
      </c>
      <c r="N626" s="839">
        <f>Indicadores[[#This Row],[Ventas]]/Indicadores[[#This Row],[Activos totales]]</f>
        <v>0.51881885436573794</v>
      </c>
      <c r="O626" s="837">
        <f>IF(Indicadores[[#This Row],[Ventas]]=0,0,Indicadores[[#This Row],[EBITDA]]/Indicadores[[#This Row],[Ventas]])</f>
        <v>0.10155796144855256</v>
      </c>
      <c r="P626" s="837">
        <f>IF(Indicadores[[#This Row],[Ventas]]=0,0,Indicadores[[#This Row],[UAI]]/Indicadores[[#This Row],[Ventas]])</f>
        <v>5.6299165710636583E-2</v>
      </c>
      <c r="Q626" s="837">
        <f>IFERROR(Indicadores[[#This Row],[Ventas]]/Indicadores[[#This Row],[Activos totales]],0)</f>
        <v>0.51881885436573794</v>
      </c>
    </row>
    <row r="627" spans="1:17" hidden="1" x14ac:dyDescent="0.35">
      <c r="A627" s="13" t="str">
        <f>MID(Indicadores[[#This Row],[CIIU]],2,4)</f>
        <v>4311</v>
      </c>
      <c r="B627" s="13" t="str">
        <f>Indicadores[[#This Row],[CIIU]]&amp;Indicadores[[#This Row],[Año]]</f>
        <v>F43112017</v>
      </c>
      <c r="C627" s="14" t="s">
        <v>2763</v>
      </c>
      <c r="D627" s="14" t="s">
        <v>2781</v>
      </c>
      <c r="E627" s="848">
        <v>2017</v>
      </c>
      <c r="F627" s="849" t="s">
        <v>2782</v>
      </c>
      <c r="G627" s="693" t="s">
        <v>2783</v>
      </c>
      <c r="H627" s="848" t="s">
        <v>2784</v>
      </c>
      <c r="I627" s="693" t="s">
        <v>2783</v>
      </c>
      <c r="J627" s="847">
        <v>1298786</v>
      </c>
      <c r="K627" s="847">
        <v>2605636</v>
      </c>
      <c r="L627" s="841">
        <v>45524998</v>
      </c>
      <c r="M627" s="847">
        <v>13362101</v>
      </c>
      <c r="N627" s="839">
        <f>Indicadores[[#This Row],[Ventas]]/Indicadores[[#This Row],[Activos totales]]</f>
        <v>0.29351129241125939</v>
      </c>
      <c r="O627" s="837">
        <f>IF(Indicadores[[#This Row],[Ventas]]=0,0,Indicadores[[#This Row],[EBITDA]]/Indicadores[[#This Row],[Ventas]])</f>
        <v>0.19500196862753844</v>
      </c>
      <c r="P627" s="837">
        <f>IF(Indicadores[[#This Row],[Ventas]]=0,0,Indicadores[[#This Row],[UAI]]/Indicadores[[#This Row],[Ventas]])</f>
        <v>9.719923535976864E-2</v>
      </c>
      <c r="Q627" s="837">
        <f>IFERROR(Indicadores[[#This Row],[Ventas]]/Indicadores[[#This Row],[Activos totales]],0)</f>
        <v>0.29351129241125939</v>
      </c>
    </row>
    <row r="628" spans="1:17" hidden="1" x14ac:dyDescent="0.35">
      <c r="A628" s="13" t="str">
        <f>MID(Indicadores[[#This Row],[CIIU]],2,4)</f>
        <v>4312</v>
      </c>
      <c r="B628" s="13" t="str">
        <f>Indicadores[[#This Row],[CIIU]]&amp;Indicadores[[#This Row],[Año]]</f>
        <v>F43122017</v>
      </c>
      <c r="C628" s="14" t="s">
        <v>2763</v>
      </c>
      <c r="D628" s="14" t="s">
        <v>2781</v>
      </c>
      <c r="E628" s="848">
        <v>2017</v>
      </c>
      <c r="F628" s="849" t="s">
        <v>2785</v>
      </c>
      <c r="G628" s="693" t="s">
        <v>2786</v>
      </c>
      <c r="H628" s="848" t="s">
        <v>2787</v>
      </c>
      <c r="I628" s="693" t="s">
        <v>2786</v>
      </c>
      <c r="J628" s="847">
        <v>21052491</v>
      </c>
      <c r="K628" s="847">
        <v>41028375</v>
      </c>
      <c r="L628" s="841">
        <v>789277107</v>
      </c>
      <c r="M628" s="847">
        <v>348374183</v>
      </c>
      <c r="N628" s="839">
        <f>Indicadores[[#This Row],[Ventas]]/Indicadores[[#This Row],[Activos totales]]</f>
        <v>0.44138386874560648</v>
      </c>
      <c r="O628" s="837">
        <f>IF(Indicadores[[#This Row],[Ventas]]=0,0,Indicadores[[#This Row],[EBITDA]]/Indicadores[[#This Row],[Ventas]])</f>
        <v>0.11777099739908109</v>
      </c>
      <c r="P628" s="837">
        <f>IF(Indicadores[[#This Row],[Ventas]]=0,0,Indicadores[[#This Row],[UAI]]/Indicadores[[#This Row],[Ventas]])</f>
        <v>6.043068639216586E-2</v>
      </c>
      <c r="Q628" s="837">
        <f>IFERROR(Indicadores[[#This Row],[Ventas]]/Indicadores[[#This Row],[Activos totales]],0)</f>
        <v>0.44138386874560648</v>
      </c>
    </row>
    <row r="629" spans="1:17" hidden="1" x14ac:dyDescent="0.35">
      <c r="A629" s="13" t="str">
        <f>MID(Indicadores[[#This Row],[CIIU]],2,4)</f>
        <v>4321</v>
      </c>
      <c r="B629" s="13" t="str">
        <f>Indicadores[[#This Row],[CIIU]]&amp;Indicadores[[#This Row],[Año]]</f>
        <v>F43212017</v>
      </c>
      <c r="C629" s="14" t="s">
        <v>2763</v>
      </c>
      <c r="D629" s="14" t="s">
        <v>2781</v>
      </c>
      <c r="E629" s="848">
        <v>2017</v>
      </c>
      <c r="F629" s="849" t="s">
        <v>2788</v>
      </c>
      <c r="G629" s="693" t="s">
        <v>2789</v>
      </c>
      <c r="H629" s="848" t="s">
        <v>2790</v>
      </c>
      <c r="I629" s="693" t="s">
        <v>2789</v>
      </c>
      <c r="J629" s="847">
        <v>128509705</v>
      </c>
      <c r="K629" s="847">
        <v>192513193</v>
      </c>
      <c r="L629" s="841">
        <v>1923327929</v>
      </c>
      <c r="M629" s="847">
        <v>1993862741</v>
      </c>
      <c r="N629" s="839">
        <f>Indicadores[[#This Row],[Ventas]]/Indicadores[[#This Row],[Activos totales]]</f>
        <v>1.0366733155259038</v>
      </c>
      <c r="O629" s="837">
        <f>IF(Indicadores[[#This Row],[Ventas]]=0,0,Indicadores[[#This Row],[EBITDA]]/Indicadores[[#This Row],[Ventas]])</f>
        <v>9.6552881520543948E-2</v>
      </c>
      <c r="P629" s="837">
        <f>IF(Indicadores[[#This Row],[Ventas]]=0,0,Indicadores[[#This Row],[UAI]]/Indicadores[[#This Row],[Ventas]])</f>
        <v>6.4452633753288038E-2</v>
      </c>
      <c r="Q629" s="837">
        <f>IFERROR(Indicadores[[#This Row],[Ventas]]/Indicadores[[#This Row],[Activos totales]],0)</f>
        <v>1.0366733155259038</v>
      </c>
    </row>
    <row r="630" spans="1:17" hidden="1" x14ac:dyDescent="0.35">
      <c r="A630" s="13" t="str">
        <f>MID(Indicadores[[#This Row],[CIIU]],2,4)</f>
        <v>4322</v>
      </c>
      <c r="B630" s="13" t="str">
        <f>Indicadores[[#This Row],[CIIU]]&amp;Indicadores[[#This Row],[Año]]</f>
        <v>F43222017</v>
      </c>
      <c r="C630" s="14" t="s">
        <v>2763</v>
      </c>
      <c r="D630" s="14" t="s">
        <v>2781</v>
      </c>
      <c r="E630" s="848">
        <v>2017</v>
      </c>
      <c r="F630" s="849" t="s">
        <v>2791</v>
      </c>
      <c r="G630" s="693" t="s">
        <v>2792</v>
      </c>
      <c r="H630" s="848" t="s">
        <v>2793</v>
      </c>
      <c r="I630" s="693" t="s">
        <v>2792</v>
      </c>
      <c r="J630" s="847">
        <v>27406982</v>
      </c>
      <c r="K630" s="847">
        <v>32681998</v>
      </c>
      <c r="L630" s="841">
        <v>271519309</v>
      </c>
      <c r="M630" s="847">
        <v>342894449</v>
      </c>
      <c r="N630" s="839">
        <f>Indicadores[[#This Row],[Ventas]]/Indicadores[[#This Row],[Activos totales]]</f>
        <v>1.2628731645748259</v>
      </c>
      <c r="O630" s="837">
        <f>IF(Indicadores[[#This Row],[Ventas]]=0,0,Indicadores[[#This Row],[EBITDA]]/Indicadores[[#This Row],[Ventas]])</f>
        <v>9.5312123294244405E-2</v>
      </c>
      <c r="P630" s="837">
        <f>IF(Indicadores[[#This Row],[Ventas]]=0,0,Indicadores[[#This Row],[UAI]]/Indicadores[[#This Row],[Ventas]])</f>
        <v>7.9928333864628998E-2</v>
      </c>
      <c r="Q630" s="837">
        <f>IFERROR(Indicadores[[#This Row],[Ventas]]/Indicadores[[#This Row],[Activos totales]],0)</f>
        <v>1.2628731645748259</v>
      </c>
    </row>
    <row r="631" spans="1:17" hidden="1" x14ac:dyDescent="0.35">
      <c r="A631" s="13" t="str">
        <f>MID(Indicadores[[#This Row],[CIIU]],2,4)</f>
        <v>4329</v>
      </c>
      <c r="B631" s="13" t="str">
        <f>Indicadores[[#This Row],[CIIU]]&amp;Indicadores[[#This Row],[Año]]</f>
        <v>F43292017</v>
      </c>
      <c r="C631" s="14" t="s">
        <v>2763</v>
      </c>
      <c r="D631" s="14" t="s">
        <v>2781</v>
      </c>
      <c r="E631" s="848">
        <v>2017</v>
      </c>
      <c r="F631" s="849" t="s">
        <v>2794</v>
      </c>
      <c r="G631" s="693" t="s">
        <v>2795</v>
      </c>
      <c r="H631" s="848" t="s">
        <v>2796</v>
      </c>
      <c r="I631" s="693" t="s">
        <v>2795</v>
      </c>
      <c r="J631" s="847">
        <v>43127951</v>
      </c>
      <c r="K631" s="847">
        <v>49413371</v>
      </c>
      <c r="L631" s="841">
        <v>353521452</v>
      </c>
      <c r="M631" s="847">
        <v>459771343</v>
      </c>
      <c r="N631" s="839">
        <f>Indicadores[[#This Row],[Ventas]]/Indicadores[[#This Row],[Activos totales]]</f>
        <v>1.300547223934801</v>
      </c>
      <c r="O631" s="837">
        <f>IF(Indicadores[[#This Row],[Ventas]]=0,0,Indicadores[[#This Row],[EBITDA]]/Indicadores[[#This Row],[Ventas]])</f>
        <v>0.10747379485980708</v>
      </c>
      <c r="P631" s="837">
        <f>IF(Indicadores[[#This Row],[Ventas]]=0,0,Indicadores[[#This Row],[UAI]]/Indicadores[[#This Row],[Ventas]])</f>
        <v>9.3803042874727405E-2</v>
      </c>
      <c r="Q631" s="837">
        <f>IFERROR(Indicadores[[#This Row],[Ventas]]/Indicadores[[#This Row],[Activos totales]],0)</f>
        <v>1.300547223934801</v>
      </c>
    </row>
    <row r="632" spans="1:17" hidden="1" x14ac:dyDescent="0.35">
      <c r="A632" s="13" t="str">
        <f>MID(Indicadores[[#This Row],[CIIU]],2,4)</f>
        <v>4330</v>
      </c>
      <c r="B632" s="13" t="str">
        <f>Indicadores[[#This Row],[CIIU]]&amp;Indicadores[[#This Row],[Año]]</f>
        <v>F43302017</v>
      </c>
      <c r="C632" s="14" t="s">
        <v>2763</v>
      </c>
      <c r="D632" s="14" t="s">
        <v>2781</v>
      </c>
      <c r="E632" s="848">
        <v>2017</v>
      </c>
      <c r="F632" s="849" t="s">
        <v>2797</v>
      </c>
      <c r="G632" s="693" t="s">
        <v>2798</v>
      </c>
      <c r="H632" s="848" t="s">
        <v>2799</v>
      </c>
      <c r="I632" s="693" t="s">
        <v>2798</v>
      </c>
      <c r="J632" s="847">
        <v>14893534</v>
      </c>
      <c r="K632" s="847">
        <v>17247929</v>
      </c>
      <c r="L632" s="841">
        <v>307804417</v>
      </c>
      <c r="M632" s="847">
        <v>190640336</v>
      </c>
      <c r="N632" s="839">
        <f>Indicadores[[#This Row],[Ventas]]/Indicadores[[#This Row],[Activos totales]]</f>
        <v>0.6193554265987028</v>
      </c>
      <c r="O632" s="837">
        <f>IF(Indicadores[[#This Row],[Ventas]]=0,0,Indicadores[[#This Row],[EBITDA]]/Indicadores[[#This Row],[Ventas]])</f>
        <v>9.0473660306599549E-2</v>
      </c>
      <c r="P632" s="837">
        <f>IF(Indicadores[[#This Row],[Ventas]]=0,0,Indicadores[[#This Row],[UAI]]/Indicadores[[#This Row],[Ventas]])</f>
        <v>7.8123729282558549E-2</v>
      </c>
      <c r="Q632" s="837">
        <f>IFERROR(Indicadores[[#This Row],[Ventas]]/Indicadores[[#This Row],[Activos totales]],0)</f>
        <v>0.6193554265987028</v>
      </c>
    </row>
    <row r="633" spans="1:17" hidden="1" x14ac:dyDescent="0.35">
      <c r="A633" s="13" t="str">
        <f>MID(Indicadores[[#This Row],[CIIU]],2,4)</f>
        <v>4390</v>
      </c>
      <c r="B633" s="13" t="str">
        <f>Indicadores[[#This Row],[CIIU]]&amp;Indicadores[[#This Row],[Año]]</f>
        <v>F43902017</v>
      </c>
      <c r="C633" s="14" t="s">
        <v>2763</v>
      </c>
      <c r="D633" s="14" t="s">
        <v>2781</v>
      </c>
      <c r="E633" s="848">
        <v>2017</v>
      </c>
      <c r="F633" s="849" t="s">
        <v>2800</v>
      </c>
      <c r="G633" s="693" t="s">
        <v>2801</v>
      </c>
      <c r="H633" s="848" t="s">
        <v>2802</v>
      </c>
      <c r="I633" s="693" t="s">
        <v>2801</v>
      </c>
      <c r="J633" s="847">
        <v>57564137</v>
      </c>
      <c r="K633" s="847">
        <v>107164531</v>
      </c>
      <c r="L633" s="841">
        <v>1692641714</v>
      </c>
      <c r="M633" s="847">
        <v>913650143</v>
      </c>
      <c r="N633" s="839">
        <f>Indicadores[[#This Row],[Ventas]]/Indicadores[[#This Row],[Activos totales]]</f>
        <v>0.53977763601305173</v>
      </c>
      <c r="O633" s="837">
        <f>IF(Indicadores[[#This Row],[Ventas]]=0,0,Indicadores[[#This Row],[EBITDA]]/Indicadores[[#This Row],[Ventas]])</f>
        <v>0.11729274254598349</v>
      </c>
      <c r="P633" s="837">
        <f>IF(Indicadores[[#This Row],[Ventas]]=0,0,Indicadores[[#This Row],[UAI]]/Indicadores[[#This Row],[Ventas]])</f>
        <v>6.300457285650532E-2</v>
      </c>
      <c r="Q633" s="837">
        <f>IFERROR(Indicadores[[#This Row],[Ventas]]/Indicadores[[#This Row],[Activos totales]],0)</f>
        <v>0.53977763601305173</v>
      </c>
    </row>
    <row r="634" spans="1:17" hidden="1" x14ac:dyDescent="0.35">
      <c r="A634" s="13" t="str">
        <f>MID(Indicadores[[#This Row],[CIIU]],2,4)</f>
        <v>4511</v>
      </c>
      <c r="B634" s="13" t="str">
        <f>Indicadores[[#This Row],[CIIU]]&amp;Indicadores[[#This Row],[Año]]</f>
        <v>G45112017</v>
      </c>
      <c r="C634" s="14" t="s">
        <v>2803</v>
      </c>
      <c r="D634" s="14" t="s">
        <v>2804</v>
      </c>
      <c r="E634" s="848">
        <v>2017</v>
      </c>
      <c r="F634" s="849" t="s">
        <v>2805</v>
      </c>
      <c r="G634" s="693" t="s">
        <v>2806</v>
      </c>
      <c r="H634" s="848" t="s">
        <v>2807</v>
      </c>
      <c r="I634" s="693" t="s">
        <v>2806</v>
      </c>
      <c r="J634" s="847">
        <v>389402661</v>
      </c>
      <c r="K634" s="847">
        <v>871559658</v>
      </c>
      <c r="L634" s="841">
        <v>12409868741</v>
      </c>
      <c r="M634" s="847">
        <v>19721794582</v>
      </c>
      <c r="N634" s="839">
        <f>Indicadores[[#This Row],[Ventas]]/Indicadores[[#This Row],[Activos totales]]</f>
        <v>1.5892025124200304</v>
      </c>
      <c r="O634" s="837">
        <f>IF(Indicadores[[#This Row],[Ventas]]=0,0,Indicadores[[#This Row],[EBITDA]]/Indicadores[[#This Row],[Ventas]])</f>
        <v>4.4192715545038119E-2</v>
      </c>
      <c r="P634" s="837">
        <f>IF(Indicadores[[#This Row],[Ventas]]=0,0,Indicadores[[#This Row],[UAI]]/Indicadores[[#This Row],[Ventas]])</f>
        <v>1.9744788405584864E-2</v>
      </c>
      <c r="Q634" s="837">
        <f>IFERROR(Indicadores[[#This Row],[Ventas]]/Indicadores[[#This Row],[Activos totales]],0)</f>
        <v>1.5892025124200304</v>
      </c>
    </row>
    <row r="635" spans="1:17" hidden="1" x14ac:dyDescent="0.35">
      <c r="A635" s="13" t="str">
        <f>MID(Indicadores[[#This Row],[CIIU]],2,4)</f>
        <v>4512</v>
      </c>
      <c r="B635" s="13" t="str">
        <f>Indicadores[[#This Row],[CIIU]]&amp;Indicadores[[#This Row],[Año]]</f>
        <v>G45122017</v>
      </c>
      <c r="C635" s="14" t="s">
        <v>2803</v>
      </c>
      <c r="D635" s="14" t="s">
        <v>2804</v>
      </c>
      <c r="E635" s="848">
        <v>2017</v>
      </c>
      <c r="F635" s="849" t="s">
        <v>2808</v>
      </c>
      <c r="G635" s="693" t="s">
        <v>2809</v>
      </c>
      <c r="H635" s="848" t="s">
        <v>2810</v>
      </c>
      <c r="I635" s="693" t="s">
        <v>2809</v>
      </c>
      <c r="J635" s="847">
        <v>1418249</v>
      </c>
      <c r="K635" s="847">
        <v>6372997</v>
      </c>
      <c r="L635" s="841">
        <v>212874651</v>
      </c>
      <c r="M635" s="847">
        <v>183128206</v>
      </c>
      <c r="N635" s="839">
        <f>Indicadores[[#This Row],[Ventas]]/Indicadores[[#This Row],[Activos totales]]</f>
        <v>0.86026309445364635</v>
      </c>
      <c r="O635" s="837">
        <f>IF(Indicadores[[#This Row],[Ventas]]=0,0,Indicadores[[#This Row],[EBITDA]]/Indicadores[[#This Row],[Ventas]])</f>
        <v>3.4800739543093651E-2</v>
      </c>
      <c r="P635" s="837">
        <f>IF(Indicadores[[#This Row],[Ventas]]=0,0,Indicadores[[#This Row],[UAI]]/Indicadores[[#This Row],[Ventas]])</f>
        <v>7.7445688513980201E-3</v>
      </c>
      <c r="Q635" s="837">
        <f>IFERROR(Indicadores[[#This Row],[Ventas]]/Indicadores[[#This Row],[Activos totales]],0)</f>
        <v>0.86026309445364635</v>
      </c>
    </row>
    <row r="636" spans="1:17" hidden="1" x14ac:dyDescent="0.35">
      <c r="A636" s="13" t="str">
        <f>MID(Indicadores[[#This Row],[CIIU]],2,4)</f>
        <v>4520</v>
      </c>
      <c r="B636" s="13" t="str">
        <f>Indicadores[[#This Row],[CIIU]]&amp;Indicadores[[#This Row],[Año]]</f>
        <v>G45202017</v>
      </c>
      <c r="C636" s="14" t="s">
        <v>2803</v>
      </c>
      <c r="D636" s="14" t="s">
        <v>2804</v>
      </c>
      <c r="E636" s="848">
        <v>2017</v>
      </c>
      <c r="F636" s="849" t="s">
        <v>2811</v>
      </c>
      <c r="G636" s="693" t="s">
        <v>2812</v>
      </c>
      <c r="H636" s="848" t="s">
        <v>2813</v>
      </c>
      <c r="I636" s="693" t="s">
        <v>2812</v>
      </c>
      <c r="J636" s="847">
        <v>22562567</v>
      </c>
      <c r="K636" s="847">
        <v>34747812</v>
      </c>
      <c r="L636" s="841">
        <v>214882697</v>
      </c>
      <c r="M636" s="847">
        <v>256542830</v>
      </c>
      <c r="N636" s="839">
        <f>Indicadores[[#This Row],[Ventas]]/Indicadores[[#This Row],[Activos totales]]</f>
        <v>1.193873837128915</v>
      </c>
      <c r="O636" s="837">
        <f>IF(Indicadores[[#This Row],[Ventas]]=0,0,Indicadores[[#This Row],[EBITDA]]/Indicadores[[#This Row],[Ventas]])</f>
        <v>0.13544643598107964</v>
      </c>
      <c r="P636" s="837">
        <f>IF(Indicadores[[#This Row],[Ventas]]=0,0,Indicadores[[#This Row],[UAI]]/Indicadores[[#This Row],[Ventas]])</f>
        <v>8.7948538651421285E-2</v>
      </c>
      <c r="Q636" s="837">
        <f>IFERROR(Indicadores[[#This Row],[Ventas]]/Indicadores[[#This Row],[Activos totales]],0)</f>
        <v>1.193873837128915</v>
      </c>
    </row>
    <row r="637" spans="1:17" hidden="1" x14ac:dyDescent="0.35">
      <c r="A637" s="13" t="str">
        <f>MID(Indicadores[[#This Row],[CIIU]],2,4)</f>
        <v>4530</v>
      </c>
      <c r="B637" s="13" t="str">
        <f>Indicadores[[#This Row],[CIIU]]&amp;Indicadores[[#This Row],[Año]]</f>
        <v>G45302017</v>
      </c>
      <c r="C637" s="14" t="s">
        <v>2803</v>
      </c>
      <c r="D637" s="14" t="s">
        <v>2804</v>
      </c>
      <c r="E637" s="848">
        <v>2017</v>
      </c>
      <c r="F637" s="849" t="s">
        <v>2814</v>
      </c>
      <c r="G637" s="693" t="s">
        <v>2815</v>
      </c>
      <c r="H637" s="848" t="s">
        <v>2816</v>
      </c>
      <c r="I637" s="693" t="s">
        <v>2815</v>
      </c>
      <c r="J637" s="847">
        <v>285299657</v>
      </c>
      <c r="K637" s="847">
        <v>379905417</v>
      </c>
      <c r="L637" s="841">
        <v>4723480773</v>
      </c>
      <c r="M637" s="847">
        <v>5011001060</v>
      </c>
      <c r="N637" s="839">
        <f>Indicadores[[#This Row],[Ventas]]/Indicadores[[#This Row],[Activos totales]]</f>
        <v>1.0608704260306301</v>
      </c>
      <c r="O637" s="837">
        <f>IF(Indicadores[[#This Row],[Ventas]]=0,0,Indicadores[[#This Row],[EBITDA]]/Indicadores[[#This Row],[Ventas]])</f>
        <v>7.5814275920348742E-2</v>
      </c>
      <c r="P637" s="837">
        <f>IF(Indicadores[[#This Row],[Ventas]]=0,0,Indicadores[[#This Row],[UAI]]/Indicadores[[#This Row],[Ventas]])</f>
        <v>5.6934663071095022E-2</v>
      </c>
      <c r="Q637" s="837">
        <f>IFERROR(Indicadores[[#This Row],[Ventas]]/Indicadores[[#This Row],[Activos totales]],0)</f>
        <v>1.0608704260306301</v>
      </c>
    </row>
    <row r="638" spans="1:17" hidden="1" x14ac:dyDescent="0.35">
      <c r="A638" s="13" t="str">
        <f>MID(Indicadores[[#This Row],[CIIU]],2,4)</f>
        <v>4541</v>
      </c>
      <c r="B638" s="13" t="str">
        <f>Indicadores[[#This Row],[CIIU]]&amp;Indicadores[[#This Row],[Año]]</f>
        <v>G45412017</v>
      </c>
      <c r="C638" s="14" t="s">
        <v>2803</v>
      </c>
      <c r="D638" s="14" t="s">
        <v>2804</v>
      </c>
      <c r="E638" s="848">
        <v>2017</v>
      </c>
      <c r="F638" s="849" t="s">
        <v>2817</v>
      </c>
      <c r="G638" s="693" t="s">
        <v>2818</v>
      </c>
      <c r="H638" s="848" t="s">
        <v>2819</v>
      </c>
      <c r="I638" s="693" t="s">
        <v>2818</v>
      </c>
      <c r="J638" s="847">
        <v>6320105</v>
      </c>
      <c r="K638" s="847">
        <v>33887988</v>
      </c>
      <c r="L638" s="841">
        <v>703238960</v>
      </c>
      <c r="M638" s="847">
        <v>1286472918</v>
      </c>
      <c r="N638" s="839">
        <f>Indicadores[[#This Row],[Ventas]]/Indicadores[[#This Row],[Activos totales]]</f>
        <v>1.8293538770946365</v>
      </c>
      <c r="O638" s="837">
        <f>IF(Indicadores[[#This Row],[Ventas]]=0,0,Indicadores[[#This Row],[EBITDA]]/Indicadores[[#This Row],[Ventas]])</f>
        <v>2.6341781102305336E-2</v>
      </c>
      <c r="P638" s="837">
        <f>IF(Indicadores[[#This Row],[Ventas]]=0,0,Indicadores[[#This Row],[UAI]]/Indicadores[[#This Row],[Ventas]])</f>
        <v>4.9127384739862823E-3</v>
      </c>
      <c r="Q638" s="837">
        <f>IFERROR(Indicadores[[#This Row],[Ventas]]/Indicadores[[#This Row],[Activos totales]],0)</f>
        <v>1.8293538770946365</v>
      </c>
    </row>
    <row r="639" spans="1:17" hidden="1" x14ac:dyDescent="0.35">
      <c r="A639" s="13" t="str">
        <f>MID(Indicadores[[#This Row],[CIIU]],2,4)</f>
        <v>4542</v>
      </c>
      <c r="B639" s="13" t="str">
        <f>Indicadores[[#This Row],[CIIU]]&amp;Indicadores[[#This Row],[Año]]</f>
        <v>G45422017</v>
      </c>
      <c r="C639" s="14" t="s">
        <v>2803</v>
      </c>
      <c r="D639" s="14" t="s">
        <v>2804</v>
      </c>
      <c r="E639" s="848">
        <v>2017</v>
      </c>
      <c r="F639" s="849" t="s">
        <v>2820</v>
      </c>
      <c r="G639" s="838" t="s">
        <v>2821</v>
      </c>
      <c r="H639" s="848" t="s">
        <v>2822</v>
      </c>
      <c r="I639" s="693" t="s">
        <v>2821</v>
      </c>
      <c r="J639" s="847">
        <v>86025</v>
      </c>
      <c r="K639" s="847">
        <v>-2026</v>
      </c>
      <c r="L639" s="841">
        <v>7435163</v>
      </c>
      <c r="M639" s="847">
        <v>11156643</v>
      </c>
      <c r="N639" s="839">
        <f>Indicadores[[#This Row],[Ventas]]/Indicadores[[#This Row],[Activos totales]]</f>
        <v>1.5005243328222932</v>
      </c>
      <c r="O639" s="837">
        <f>IF(Indicadores[[#This Row],[Ventas]]=0,0,Indicadores[[#This Row],[EBITDA]]/Indicadores[[#This Row],[Ventas]])</f>
        <v>-1.8159584383940582E-4</v>
      </c>
      <c r="P639" s="837">
        <f>IF(Indicadores[[#This Row],[Ventas]]=0,0,Indicadores[[#This Row],[UAI]]/Indicadores[[#This Row],[Ventas]])</f>
        <v>7.710652747425906E-3</v>
      </c>
      <c r="Q639" s="837">
        <f>IFERROR(Indicadores[[#This Row],[Ventas]]/Indicadores[[#This Row],[Activos totales]],0)</f>
        <v>1.5005243328222932</v>
      </c>
    </row>
    <row r="640" spans="1:17" hidden="1" x14ac:dyDescent="0.35">
      <c r="A640" s="13" t="str">
        <f>MID(Indicadores[[#This Row],[CIIU]],2,4)</f>
        <v>4610</v>
      </c>
      <c r="B640" s="13" t="str">
        <f>Indicadores[[#This Row],[CIIU]]&amp;Indicadores[[#This Row],[Año]]</f>
        <v>G46102017</v>
      </c>
      <c r="C640" s="14" t="s">
        <v>2803</v>
      </c>
      <c r="D640" s="14" t="s">
        <v>2823</v>
      </c>
      <c r="E640" s="848">
        <v>2017</v>
      </c>
      <c r="F640" s="849" t="s">
        <v>2824</v>
      </c>
      <c r="G640" s="693" t="s">
        <v>2825</v>
      </c>
      <c r="H640" s="848" t="s">
        <v>2826</v>
      </c>
      <c r="I640" s="693" t="s">
        <v>2825</v>
      </c>
      <c r="J640" s="847">
        <v>17888524</v>
      </c>
      <c r="K640" s="847">
        <v>44314232</v>
      </c>
      <c r="L640" s="841">
        <v>884600822</v>
      </c>
      <c r="M640" s="847">
        <v>1912152628</v>
      </c>
      <c r="N640" s="839">
        <f>Indicadores[[#This Row],[Ventas]]/Indicadores[[#This Row],[Activos totales]]</f>
        <v>2.1615994247855221</v>
      </c>
      <c r="O640" s="837">
        <f>IF(Indicadores[[#This Row],[Ventas]]=0,0,Indicadores[[#This Row],[EBITDA]]/Indicadores[[#This Row],[Ventas]])</f>
        <v>2.3175049601741309E-2</v>
      </c>
      <c r="P640" s="837">
        <f>IF(Indicadores[[#This Row],[Ventas]]=0,0,Indicadores[[#This Row],[UAI]]/Indicadores[[#This Row],[Ventas]])</f>
        <v>9.3551758045121915E-3</v>
      </c>
      <c r="Q640" s="837">
        <f>IFERROR(Indicadores[[#This Row],[Ventas]]/Indicadores[[#This Row],[Activos totales]],0)</f>
        <v>2.1615994247855221</v>
      </c>
    </row>
    <row r="641" spans="1:17" hidden="1" x14ac:dyDescent="0.35">
      <c r="A641" s="13" t="str">
        <f>MID(Indicadores[[#This Row],[CIIU]],2,4)</f>
        <v>4620</v>
      </c>
      <c r="B641" s="13" t="str">
        <f>Indicadores[[#This Row],[CIIU]]&amp;Indicadores[[#This Row],[Año]]</f>
        <v>G46202017</v>
      </c>
      <c r="C641" s="14" t="s">
        <v>2803</v>
      </c>
      <c r="D641" s="14" t="s">
        <v>2823</v>
      </c>
      <c r="E641" s="848">
        <v>2017</v>
      </c>
      <c r="F641" s="849" t="s">
        <v>2827</v>
      </c>
      <c r="G641" s="693" t="s">
        <v>2828</v>
      </c>
      <c r="H641" s="848" t="s">
        <v>2829</v>
      </c>
      <c r="I641" s="693" t="s">
        <v>2828</v>
      </c>
      <c r="J641" s="847">
        <v>179409951</v>
      </c>
      <c r="K641" s="847">
        <v>273444138</v>
      </c>
      <c r="L641" s="841">
        <v>3857340152</v>
      </c>
      <c r="M641" s="847">
        <v>7722532522</v>
      </c>
      <c r="N641" s="839">
        <f>Indicadores[[#This Row],[Ventas]]/Indicadores[[#This Row],[Activos totales]]</f>
        <v>2.0020356560973571</v>
      </c>
      <c r="O641" s="837">
        <f>IF(Indicadores[[#This Row],[Ventas]]=0,0,Indicadores[[#This Row],[EBITDA]]/Indicadores[[#This Row],[Ventas]])</f>
        <v>3.5408609445283734E-2</v>
      </c>
      <c r="P641" s="837">
        <f>IF(Indicadores[[#This Row],[Ventas]]=0,0,Indicadores[[#This Row],[UAI]]/Indicadores[[#This Row],[Ventas]])</f>
        <v>2.3232009769968049E-2</v>
      </c>
      <c r="Q641" s="837">
        <f>IFERROR(Indicadores[[#This Row],[Ventas]]/Indicadores[[#This Row],[Activos totales]],0)</f>
        <v>2.0020356560973571</v>
      </c>
    </row>
    <row r="642" spans="1:17" hidden="1" x14ac:dyDescent="0.35">
      <c r="A642" s="13" t="str">
        <f>MID(Indicadores[[#This Row],[CIIU]],2,4)</f>
        <v>4631</v>
      </c>
      <c r="B642" s="13" t="str">
        <f>Indicadores[[#This Row],[CIIU]]&amp;Indicadores[[#This Row],[Año]]</f>
        <v>G46312017</v>
      </c>
      <c r="C642" s="14" t="s">
        <v>2803</v>
      </c>
      <c r="D642" s="14" t="s">
        <v>2823</v>
      </c>
      <c r="E642" s="848">
        <v>2017</v>
      </c>
      <c r="F642" s="849" t="s">
        <v>2830</v>
      </c>
      <c r="G642" s="693" t="s">
        <v>2831</v>
      </c>
      <c r="H642" s="848" t="s">
        <v>2832</v>
      </c>
      <c r="I642" s="693" t="s">
        <v>2831</v>
      </c>
      <c r="J642" s="847">
        <v>159185368</v>
      </c>
      <c r="K642" s="847">
        <v>246016247</v>
      </c>
      <c r="L642" s="841">
        <v>3541620397</v>
      </c>
      <c r="M642" s="847">
        <v>7382729440</v>
      </c>
      <c r="N642" s="839">
        <f>Indicadores[[#This Row],[Ventas]]/Indicadores[[#This Row],[Activos totales]]</f>
        <v>2.0845626048047632</v>
      </c>
      <c r="O642" s="837">
        <f>IF(Indicadores[[#This Row],[Ventas]]=0,0,Indicadores[[#This Row],[EBITDA]]/Indicadores[[#This Row],[Ventas]])</f>
        <v>3.3323210473767545E-2</v>
      </c>
      <c r="P642" s="837">
        <f>IF(Indicadores[[#This Row],[Ventas]]=0,0,Indicadores[[#This Row],[UAI]]/Indicadores[[#This Row],[Ventas]])</f>
        <v>2.1561858563788842E-2</v>
      </c>
      <c r="Q642" s="837">
        <f>IFERROR(Indicadores[[#This Row],[Ventas]]/Indicadores[[#This Row],[Activos totales]],0)</f>
        <v>2.0845626048047632</v>
      </c>
    </row>
    <row r="643" spans="1:17" hidden="1" x14ac:dyDescent="0.35">
      <c r="A643" s="13" t="str">
        <f>MID(Indicadores[[#This Row],[CIIU]],2,4)</f>
        <v>4632</v>
      </c>
      <c r="B643" s="13" t="str">
        <f>Indicadores[[#This Row],[CIIU]]&amp;Indicadores[[#This Row],[Año]]</f>
        <v>G46322017</v>
      </c>
      <c r="C643" s="14" t="s">
        <v>2803</v>
      </c>
      <c r="D643" s="14" t="s">
        <v>2823</v>
      </c>
      <c r="E643" s="848">
        <v>2017</v>
      </c>
      <c r="F643" s="849" t="s">
        <v>2833</v>
      </c>
      <c r="G643" s="693" t="s">
        <v>2834</v>
      </c>
      <c r="H643" s="848" t="s">
        <v>2835</v>
      </c>
      <c r="I643" s="693" t="s">
        <v>2834</v>
      </c>
      <c r="J643" s="847">
        <v>12288919.549999997</v>
      </c>
      <c r="K643" s="847">
        <v>239315661.12</v>
      </c>
      <c r="L643" s="841">
        <v>4027492540.6500001</v>
      </c>
      <c r="M643" s="847">
        <v>3995609888.54</v>
      </c>
      <c r="N643" s="839">
        <f>Indicadores[[#This Row],[Ventas]]/Indicadores[[#This Row],[Activos totales]]</f>
        <v>0.99208374645310837</v>
      </c>
      <c r="O643" s="837">
        <f>IF(Indicadores[[#This Row],[Ventas]]=0,0,Indicadores[[#This Row],[EBITDA]]/Indicadores[[#This Row],[Ventas]])</f>
        <v>5.9894651328797816E-2</v>
      </c>
      <c r="P643" s="837">
        <f>IF(Indicadores[[#This Row],[Ventas]]=0,0,Indicadores[[#This Row],[UAI]]/Indicadores[[#This Row],[Ventas]])</f>
        <v>3.0756054501833215E-3</v>
      </c>
      <c r="Q643" s="837">
        <f>IFERROR(Indicadores[[#This Row],[Ventas]]/Indicadores[[#This Row],[Activos totales]],0)</f>
        <v>0.99208374645310837</v>
      </c>
    </row>
    <row r="644" spans="1:17" hidden="1" x14ac:dyDescent="0.35">
      <c r="A644" s="13" t="str">
        <f>MID(Indicadores[[#This Row],[CIIU]],2,4)</f>
        <v>4641</v>
      </c>
      <c r="B644" s="13" t="str">
        <f>Indicadores[[#This Row],[CIIU]]&amp;Indicadores[[#This Row],[Año]]</f>
        <v>G46412017</v>
      </c>
      <c r="C644" s="14" t="s">
        <v>2803</v>
      </c>
      <c r="D644" s="14" t="s">
        <v>2823</v>
      </c>
      <c r="E644" s="848">
        <v>2017</v>
      </c>
      <c r="F644" s="849" t="s">
        <v>2836</v>
      </c>
      <c r="G644" s="693" t="s">
        <v>2837</v>
      </c>
      <c r="H644" s="848" t="s">
        <v>2838</v>
      </c>
      <c r="I644" s="693" t="s">
        <v>2837</v>
      </c>
      <c r="J644" s="847">
        <v>37125653</v>
      </c>
      <c r="K644" s="847">
        <v>137786537</v>
      </c>
      <c r="L644" s="841">
        <v>2198081751</v>
      </c>
      <c r="M644" s="847">
        <v>2497223981</v>
      </c>
      <c r="N644" s="839">
        <f>Indicadores[[#This Row],[Ventas]]/Indicadores[[#This Row],[Activos totales]]</f>
        <v>1.1360924041446172</v>
      </c>
      <c r="O644" s="837">
        <f>IF(Indicadores[[#This Row],[Ventas]]=0,0,Indicadores[[#This Row],[EBITDA]]/Indicadores[[#This Row],[Ventas]])</f>
        <v>5.5175882519286124E-2</v>
      </c>
      <c r="P644" s="837">
        <f>IF(Indicadores[[#This Row],[Ventas]]=0,0,Indicadores[[#This Row],[UAI]]/Indicadores[[#This Row],[Ventas]])</f>
        <v>1.4866769373700003E-2</v>
      </c>
      <c r="Q644" s="837">
        <f>IFERROR(Indicadores[[#This Row],[Ventas]]/Indicadores[[#This Row],[Activos totales]],0)</f>
        <v>1.1360924041446172</v>
      </c>
    </row>
    <row r="645" spans="1:17" hidden="1" x14ac:dyDescent="0.35">
      <c r="A645" s="13" t="str">
        <f>MID(Indicadores[[#This Row],[CIIU]],2,4)</f>
        <v>4642</v>
      </c>
      <c r="B645" s="13" t="str">
        <f>Indicadores[[#This Row],[CIIU]]&amp;Indicadores[[#This Row],[Año]]</f>
        <v>G46422017</v>
      </c>
      <c r="C645" s="14" t="s">
        <v>2803</v>
      </c>
      <c r="D645" s="14" t="s">
        <v>2823</v>
      </c>
      <c r="E645" s="848">
        <v>2017</v>
      </c>
      <c r="F645" s="849" t="s">
        <v>2839</v>
      </c>
      <c r="G645" s="693" t="s">
        <v>2840</v>
      </c>
      <c r="H645" s="848" t="s">
        <v>2841</v>
      </c>
      <c r="I645" s="693" t="s">
        <v>2840</v>
      </c>
      <c r="J645" s="847">
        <v>10615649</v>
      </c>
      <c r="K645" s="847">
        <v>18143372</v>
      </c>
      <c r="L645" s="841">
        <v>248580204</v>
      </c>
      <c r="M645" s="847">
        <v>213649065</v>
      </c>
      <c r="N645" s="839">
        <f>Indicadores[[#This Row],[Ventas]]/Indicadores[[#This Row],[Activos totales]]</f>
        <v>0.85947739024302994</v>
      </c>
      <c r="O645" s="837">
        <f>IF(Indicadores[[#This Row],[Ventas]]=0,0,Indicadores[[#This Row],[EBITDA]]/Indicadores[[#This Row],[Ventas]])</f>
        <v>8.4921373280992363E-2</v>
      </c>
      <c r="P645" s="837">
        <f>IF(Indicadores[[#This Row],[Ventas]]=0,0,Indicadores[[#This Row],[UAI]]/Indicadores[[#This Row],[Ventas]])</f>
        <v>4.9687317845271167E-2</v>
      </c>
      <c r="Q645" s="837">
        <f>IFERROR(Indicadores[[#This Row],[Ventas]]/Indicadores[[#This Row],[Activos totales]],0)</f>
        <v>0.85947739024302994</v>
      </c>
    </row>
    <row r="646" spans="1:17" hidden="1" x14ac:dyDescent="0.35">
      <c r="A646" s="13" t="str">
        <f>MID(Indicadores[[#This Row],[CIIU]],2,4)</f>
        <v>4643</v>
      </c>
      <c r="B646" s="13" t="str">
        <f>Indicadores[[#This Row],[CIIU]]&amp;Indicadores[[#This Row],[Año]]</f>
        <v>G46432017</v>
      </c>
      <c r="C646" s="14" t="s">
        <v>2803</v>
      </c>
      <c r="D646" s="14" t="s">
        <v>2823</v>
      </c>
      <c r="E646" s="848">
        <v>2017</v>
      </c>
      <c r="F646" s="849" t="s">
        <v>2842</v>
      </c>
      <c r="G646" s="693" t="s">
        <v>2843</v>
      </c>
      <c r="H646" s="848" t="s">
        <v>2844</v>
      </c>
      <c r="I646" s="693" t="s">
        <v>2843</v>
      </c>
      <c r="J646" s="847">
        <v>51071275</v>
      </c>
      <c r="K646" s="847">
        <v>74046976</v>
      </c>
      <c r="L646" s="841">
        <v>589128540</v>
      </c>
      <c r="M646" s="847">
        <v>775880521</v>
      </c>
      <c r="N646" s="839">
        <f>Indicadores[[#This Row],[Ventas]]/Indicadores[[#This Row],[Activos totales]]</f>
        <v>1.3169970020464465</v>
      </c>
      <c r="O646" s="837">
        <f>IF(Indicadores[[#This Row],[Ventas]]=0,0,Indicadores[[#This Row],[EBITDA]]/Indicadores[[#This Row],[Ventas]])</f>
        <v>9.5436054902582099E-2</v>
      </c>
      <c r="P646" s="837">
        <f>IF(Indicadores[[#This Row],[Ventas]]=0,0,Indicadores[[#This Row],[UAI]]/Indicadores[[#This Row],[Ventas]])</f>
        <v>6.5823633430281719E-2</v>
      </c>
      <c r="Q646" s="837">
        <f>IFERROR(Indicadores[[#This Row],[Ventas]]/Indicadores[[#This Row],[Activos totales]],0)</f>
        <v>1.3169970020464465</v>
      </c>
    </row>
    <row r="647" spans="1:17" hidden="1" x14ac:dyDescent="0.35">
      <c r="A647" s="13" t="str">
        <f>MID(Indicadores[[#This Row],[CIIU]],2,4)</f>
        <v>4644</v>
      </c>
      <c r="B647" s="13" t="str">
        <f>Indicadores[[#This Row],[CIIU]]&amp;Indicadores[[#This Row],[Año]]</f>
        <v>G46442017</v>
      </c>
      <c r="C647" s="14" t="s">
        <v>2803</v>
      </c>
      <c r="D647" s="14" t="s">
        <v>2823</v>
      </c>
      <c r="E647" s="848">
        <v>2017</v>
      </c>
      <c r="F647" s="849" t="s">
        <v>2845</v>
      </c>
      <c r="G647" s="693" t="s">
        <v>2846</v>
      </c>
      <c r="H647" s="848" t="s">
        <v>2847</v>
      </c>
      <c r="I647" s="693" t="s">
        <v>2846</v>
      </c>
      <c r="J647" s="847">
        <v>-4756066</v>
      </c>
      <c r="K647" s="847">
        <v>53930958</v>
      </c>
      <c r="L647" s="841">
        <v>1453604154</v>
      </c>
      <c r="M647" s="847">
        <v>2597088759</v>
      </c>
      <c r="N647" s="839">
        <f>Indicadores[[#This Row],[Ventas]]/Indicadores[[#This Row],[Activos totales]]</f>
        <v>1.7866547449340875</v>
      </c>
      <c r="O647" s="837">
        <f>IF(Indicadores[[#This Row],[Ventas]]=0,0,Indicadores[[#This Row],[EBITDA]]/Indicadores[[#This Row],[Ventas]])</f>
        <v>2.076592793107538E-2</v>
      </c>
      <c r="P647" s="837">
        <f>IF(Indicadores[[#This Row],[Ventas]]=0,0,Indicadores[[#This Row],[UAI]]/Indicadores[[#This Row],[Ventas]])</f>
        <v>-1.83130668273013E-3</v>
      </c>
      <c r="Q647" s="837">
        <f>IFERROR(Indicadores[[#This Row],[Ventas]]/Indicadores[[#This Row],[Activos totales]],0)</f>
        <v>1.7866547449340875</v>
      </c>
    </row>
    <row r="648" spans="1:17" hidden="1" x14ac:dyDescent="0.35">
      <c r="A648" s="13" t="str">
        <f>MID(Indicadores[[#This Row],[CIIU]],2,4)</f>
        <v>4645</v>
      </c>
      <c r="B648" s="13" t="str">
        <f>Indicadores[[#This Row],[CIIU]]&amp;Indicadores[[#This Row],[Año]]</f>
        <v>G46452017</v>
      </c>
      <c r="C648" s="14" t="s">
        <v>2803</v>
      </c>
      <c r="D648" s="14" t="s">
        <v>2823</v>
      </c>
      <c r="E648" s="848">
        <v>2017</v>
      </c>
      <c r="F648" s="849" t="s">
        <v>2848</v>
      </c>
      <c r="G648" s="693" t="s">
        <v>2849</v>
      </c>
      <c r="H648" s="848" t="s">
        <v>2850</v>
      </c>
      <c r="I648" s="693" t="s">
        <v>2849</v>
      </c>
      <c r="J648" s="847">
        <v>1154383219</v>
      </c>
      <c r="K648" s="847">
        <v>1470330888</v>
      </c>
      <c r="L648" s="841">
        <v>15540977704</v>
      </c>
      <c r="M648" s="847">
        <v>19287429833</v>
      </c>
      <c r="N648" s="839">
        <f>Indicadores[[#This Row],[Ventas]]/Indicadores[[#This Row],[Activos totales]]</f>
        <v>1.2410692686365365</v>
      </c>
      <c r="O648" s="837">
        <f>IF(Indicadores[[#This Row],[Ventas]]=0,0,Indicadores[[#This Row],[EBITDA]]/Indicadores[[#This Row],[Ventas]])</f>
        <v>7.6232598160088927E-2</v>
      </c>
      <c r="P648" s="837">
        <f>IF(Indicadores[[#This Row],[Ventas]]=0,0,Indicadores[[#This Row],[UAI]]/Indicadores[[#This Row],[Ventas]])</f>
        <v>5.9851583595907511E-2</v>
      </c>
      <c r="Q648" s="837">
        <f>IFERROR(Indicadores[[#This Row],[Ventas]]/Indicadores[[#This Row],[Activos totales]],0)</f>
        <v>1.2410692686365365</v>
      </c>
    </row>
    <row r="649" spans="1:17" hidden="1" x14ac:dyDescent="0.35">
      <c r="A649" s="13" t="str">
        <f>MID(Indicadores[[#This Row],[CIIU]],2,4)</f>
        <v>4649</v>
      </c>
      <c r="B649" s="13" t="str">
        <f>Indicadores[[#This Row],[CIIU]]&amp;Indicadores[[#This Row],[Año]]</f>
        <v>G46492017</v>
      </c>
      <c r="C649" s="14" t="s">
        <v>2803</v>
      </c>
      <c r="D649" s="14" t="s">
        <v>2823</v>
      </c>
      <c r="E649" s="848">
        <v>2017</v>
      </c>
      <c r="F649" s="849" t="s">
        <v>2851</v>
      </c>
      <c r="G649" s="693" t="s">
        <v>2852</v>
      </c>
      <c r="H649" s="848" t="s">
        <v>2853</v>
      </c>
      <c r="I649" s="693" t="s">
        <v>2852</v>
      </c>
      <c r="J649" s="847">
        <v>46733646</v>
      </c>
      <c r="K649" s="847">
        <v>71333160</v>
      </c>
      <c r="L649" s="841">
        <v>779586730</v>
      </c>
      <c r="M649" s="847">
        <v>921158354</v>
      </c>
      <c r="N649" s="839">
        <f>Indicadores[[#This Row],[Ventas]]/Indicadores[[#This Row],[Activos totales]]</f>
        <v>1.1815982988833071</v>
      </c>
      <c r="O649" s="837">
        <f>IF(Indicadores[[#This Row],[Ventas]]=0,0,Indicadores[[#This Row],[EBITDA]]/Indicadores[[#This Row],[Ventas]])</f>
        <v>7.7438542124973225E-2</v>
      </c>
      <c r="P649" s="837">
        <f>IF(Indicadores[[#This Row],[Ventas]]=0,0,Indicadores[[#This Row],[UAI]]/Indicadores[[#This Row],[Ventas]])</f>
        <v>5.0733563666947971E-2</v>
      </c>
      <c r="Q649" s="837">
        <f>IFERROR(Indicadores[[#This Row],[Ventas]]/Indicadores[[#This Row],[Activos totales]],0)</f>
        <v>1.1815982988833071</v>
      </c>
    </row>
    <row r="650" spans="1:17" hidden="1" x14ac:dyDescent="0.35">
      <c r="A650" s="13" t="str">
        <f>MID(Indicadores[[#This Row],[CIIU]],2,4)</f>
        <v>4651</v>
      </c>
      <c r="B650" s="13" t="str">
        <f>Indicadores[[#This Row],[CIIU]]&amp;Indicadores[[#This Row],[Año]]</f>
        <v>G46512017</v>
      </c>
      <c r="C650" s="14" t="s">
        <v>2803</v>
      </c>
      <c r="D650" s="14" t="s">
        <v>2823</v>
      </c>
      <c r="E650" s="848">
        <v>2017</v>
      </c>
      <c r="F650" s="849" t="s">
        <v>2854</v>
      </c>
      <c r="G650" s="693" t="s">
        <v>2855</v>
      </c>
      <c r="H650" s="848" t="s">
        <v>2856</v>
      </c>
      <c r="I650" s="693" t="s">
        <v>2855</v>
      </c>
      <c r="J650" s="847">
        <v>96228893</v>
      </c>
      <c r="K650" s="847">
        <v>381300337</v>
      </c>
      <c r="L650" s="841">
        <v>2880464388</v>
      </c>
      <c r="M650" s="847">
        <v>5419941124</v>
      </c>
      <c r="N650" s="839">
        <f>Indicadores[[#This Row],[Ventas]]/Indicadores[[#This Row],[Activos totales]]</f>
        <v>1.8816205979075622</v>
      </c>
      <c r="O650" s="837">
        <f>IF(Indicadores[[#This Row],[Ventas]]=0,0,Indicadores[[#This Row],[EBITDA]]/Indicadores[[#This Row],[Ventas]])</f>
        <v>7.0351379890745844E-2</v>
      </c>
      <c r="P650" s="837">
        <f>IF(Indicadores[[#This Row],[Ventas]]=0,0,Indicadores[[#This Row],[UAI]]/Indicadores[[#This Row],[Ventas]])</f>
        <v>1.7754601166032887E-2</v>
      </c>
      <c r="Q650" s="837">
        <f>IFERROR(Indicadores[[#This Row],[Ventas]]/Indicadores[[#This Row],[Activos totales]],0)</f>
        <v>1.8816205979075622</v>
      </c>
    </row>
    <row r="651" spans="1:17" hidden="1" x14ac:dyDescent="0.35">
      <c r="A651" s="13" t="str">
        <f>MID(Indicadores[[#This Row],[CIIU]],2,4)</f>
        <v>4652</v>
      </c>
      <c r="B651" s="13" t="str">
        <f>Indicadores[[#This Row],[CIIU]]&amp;Indicadores[[#This Row],[Año]]</f>
        <v>G46522017</v>
      </c>
      <c r="C651" s="14" t="s">
        <v>2803</v>
      </c>
      <c r="D651" s="14" t="s">
        <v>2823</v>
      </c>
      <c r="E651" s="848">
        <v>2017</v>
      </c>
      <c r="F651" s="849" t="s">
        <v>2857</v>
      </c>
      <c r="G651" s="693" t="s">
        <v>2858</v>
      </c>
      <c r="H651" s="848" t="s">
        <v>2859</v>
      </c>
      <c r="I651" s="693" t="s">
        <v>2858</v>
      </c>
      <c r="J651" s="847">
        <v>151973496</v>
      </c>
      <c r="K651" s="847">
        <v>220872329</v>
      </c>
      <c r="L651" s="841">
        <v>2616788804</v>
      </c>
      <c r="M651" s="847">
        <v>4482065005</v>
      </c>
      <c r="N651" s="839">
        <f>Indicadores[[#This Row],[Ventas]]/Indicadores[[#This Row],[Activos totales]]</f>
        <v>1.7128111363625353</v>
      </c>
      <c r="O651" s="837">
        <f>IF(Indicadores[[#This Row],[Ventas]]=0,0,Indicadores[[#This Row],[EBITDA]]/Indicadores[[#This Row],[Ventas]])</f>
        <v>4.9279144491122792E-2</v>
      </c>
      <c r="P651" s="837">
        <f>IF(Indicadores[[#This Row],[Ventas]]=0,0,Indicadores[[#This Row],[UAI]]/Indicadores[[#This Row],[Ventas]])</f>
        <v>3.3907026299365331E-2</v>
      </c>
      <c r="Q651" s="837">
        <f>IFERROR(Indicadores[[#This Row],[Ventas]]/Indicadores[[#This Row],[Activos totales]],0)</f>
        <v>1.7128111363625353</v>
      </c>
    </row>
    <row r="652" spans="1:17" hidden="1" x14ac:dyDescent="0.35">
      <c r="A652" s="13" t="str">
        <f>MID(Indicadores[[#This Row],[CIIU]],2,4)</f>
        <v>4653</v>
      </c>
      <c r="B652" s="13" t="str">
        <f>Indicadores[[#This Row],[CIIU]]&amp;Indicadores[[#This Row],[Año]]</f>
        <v>G46532017</v>
      </c>
      <c r="C652" s="14" t="s">
        <v>2803</v>
      </c>
      <c r="D652" s="14" t="s">
        <v>2823</v>
      </c>
      <c r="E652" s="848">
        <v>2017</v>
      </c>
      <c r="F652" s="849" t="s">
        <v>2860</v>
      </c>
      <c r="G652" s="693" t="s">
        <v>2861</v>
      </c>
      <c r="H652" s="848" t="s">
        <v>2862</v>
      </c>
      <c r="I652" s="693" t="s">
        <v>2861</v>
      </c>
      <c r="J652" s="847">
        <v>39439084</v>
      </c>
      <c r="K652" s="847">
        <v>61264492</v>
      </c>
      <c r="L652" s="841">
        <v>658046374</v>
      </c>
      <c r="M652" s="847">
        <v>693288394</v>
      </c>
      <c r="N652" s="839">
        <f>Indicadores[[#This Row],[Ventas]]/Indicadores[[#This Row],[Activos totales]]</f>
        <v>1.0535555264681087</v>
      </c>
      <c r="O652" s="837">
        <f>IF(Indicadores[[#This Row],[Ventas]]=0,0,Indicadores[[#This Row],[EBITDA]]/Indicadores[[#This Row],[Ventas]])</f>
        <v>8.8367975766229262E-2</v>
      </c>
      <c r="P652" s="837">
        <f>IF(Indicadores[[#This Row],[Ventas]]=0,0,Indicadores[[#This Row],[UAI]]/Indicadores[[#This Row],[Ventas]])</f>
        <v>5.6886981437049705E-2</v>
      </c>
      <c r="Q652" s="837">
        <f>IFERROR(Indicadores[[#This Row],[Ventas]]/Indicadores[[#This Row],[Activos totales]],0)</f>
        <v>1.0535555264681087</v>
      </c>
    </row>
    <row r="653" spans="1:17" hidden="1" x14ac:dyDescent="0.35">
      <c r="A653" s="13" t="str">
        <f>MID(Indicadores[[#This Row],[CIIU]],2,4)</f>
        <v>4659</v>
      </c>
      <c r="B653" s="13" t="str">
        <f>Indicadores[[#This Row],[CIIU]]&amp;Indicadores[[#This Row],[Año]]</f>
        <v>G46592017</v>
      </c>
      <c r="C653" s="14" t="s">
        <v>2803</v>
      </c>
      <c r="D653" s="14" t="s">
        <v>2823</v>
      </c>
      <c r="E653" s="848">
        <v>2017</v>
      </c>
      <c r="F653" s="849" t="s">
        <v>2863</v>
      </c>
      <c r="G653" s="693" t="s">
        <v>2864</v>
      </c>
      <c r="H653" s="848" t="s">
        <v>2865</v>
      </c>
      <c r="I653" s="693" t="s">
        <v>2864</v>
      </c>
      <c r="J653" s="847">
        <v>479083636</v>
      </c>
      <c r="K653" s="847">
        <v>704695495</v>
      </c>
      <c r="L653" s="841">
        <v>7189924376</v>
      </c>
      <c r="M653" s="847">
        <v>7332414472</v>
      </c>
      <c r="N653" s="839">
        <f>Indicadores[[#This Row],[Ventas]]/Indicadores[[#This Row],[Activos totales]]</f>
        <v>1.0198180243001767</v>
      </c>
      <c r="O653" s="837">
        <f>IF(Indicadores[[#This Row],[Ventas]]=0,0,Indicadores[[#This Row],[EBITDA]]/Indicadores[[#This Row],[Ventas]])</f>
        <v>9.6106882349735231E-2</v>
      </c>
      <c r="P653" s="837">
        <f>IF(Indicadores[[#This Row],[Ventas]]=0,0,Indicadores[[#This Row],[UAI]]/Indicadores[[#This Row],[Ventas]])</f>
        <v>6.5337773502774241E-2</v>
      </c>
      <c r="Q653" s="837">
        <f>IFERROR(Indicadores[[#This Row],[Ventas]]/Indicadores[[#This Row],[Activos totales]],0)</f>
        <v>1.0198180243001767</v>
      </c>
    </row>
    <row r="654" spans="1:17" hidden="1" x14ac:dyDescent="0.35">
      <c r="A654" s="13" t="str">
        <f>MID(Indicadores[[#This Row],[CIIU]],2,4)</f>
        <v>4661</v>
      </c>
      <c r="B654" s="13" t="str">
        <f>Indicadores[[#This Row],[CIIU]]&amp;Indicadores[[#This Row],[Año]]</f>
        <v>G46612017</v>
      </c>
      <c r="C654" s="14" t="s">
        <v>2803</v>
      </c>
      <c r="D654" s="14" t="s">
        <v>2823</v>
      </c>
      <c r="E654" s="848">
        <v>2017</v>
      </c>
      <c r="F654" s="849" t="s">
        <v>2866</v>
      </c>
      <c r="G654" s="693" t="s">
        <v>2867</v>
      </c>
      <c r="H654" s="848" t="s">
        <v>2868</v>
      </c>
      <c r="I654" s="693" t="s">
        <v>2867</v>
      </c>
      <c r="J654" s="847">
        <v>58851992</v>
      </c>
      <c r="K654" s="847">
        <v>302991799</v>
      </c>
      <c r="L654" s="841">
        <v>5469273676</v>
      </c>
      <c r="M654" s="847">
        <v>15227770577</v>
      </c>
      <c r="N654" s="839">
        <f>Indicadores[[#This Row],[Ventas]]/Indicadores[[#This Row],[Activos totales]]</f>
        <v>2.7842400068260909</v>
      </c>
      <c r="O654" s="837">
        <f>IF(Indicadores[[#This Row],[Ventas]]=0,0,Indicadores[[#This Row],[EBITDA]]/Indicadores[[#This Row],[Ventas]])</f>
        <v>1.9897318354509381E-2</v>
      </c>
      <c r="P654" s="837">
        <f>IF(Indicadores[[#This Row],[Ventas]]=0,0,Indicadores[[#This Row],[UAI]]/Indicadores[[#This Row],[Ventas]])</f>
        <v>3.8647805798236777E-3</v>
      </c>
      <c r="Q654" s="837">
        <f>IFERROR(Indicadores[[#This Row],[Ventas]]/Indicadores[[#This Row],[Activos totales]],0)</f>
        <v>2.7842400068260909</v>
      </c>
    </row>
    <row r="655" spans="1:17" hidden="1" x14ac:dyDescent="0.35">
      <c r="A655" s="13" t="str">
        <f>MID(Indicadores[[#This Row],[CIIU]],2,4)</f>
        <v>4662</v>
      </c>
      <c r="B655" s="13" t="str">
        <f>Indicadores[[#This Row],[CIIU]]&amp;Indicadores[[#This Row],[Año]]</f>
        <v>G46622017</v>
      </c>
      <c r="C655" s="14" t="s">
        <v>2803</v>
      </c>
      <c r="D655" s="14" t="s">
        <v>2823</v>
      </c>
      <c r="E655" s="848">
        <v>2017</v>
      </c>
      <c r="F655" s="849" t="s">
        <v>2869</v>
      </c>
      <c r="G655" s="693" t="s">
        <v>2870</v>
      </c>
      <c r="H655" s="848" t="s">
        <v>2871</v>
      </c>
      <c r="I655" s="693" t="s">
        <v>2870</v>
      </c>
      <c r="J655" s="847">
        <v>17462390</v>
      </c>
      <c r="K655" s="847">
        <v>29057774</v>
      </c>
      <c r="L655" s="841">
        <v>381753594</v>
      </c>
      <c r="M655" s="847">
        <v>1031908421</v>
      </c>
      <c r="N655" s="839">
        <f>Indicadores[[#This Row],[Ventas]]/Indicadores[[#This Row],[Activos totales]]</f>
        <v>2.7030745413231134</v>
      </c>
      <c r="O655" s="837">
        <f>IF(Indicadores[[#This Row],[Ventas]]=0,0,Indicadores[[#This Row],[EBITDA]]/Indicadores[[#This Row],[Ventas]])</f>
        <v>2.8159256585812861E-2</v>
      </c>
      <c r="P655" s="837">
        <f>IF(Indicadores[[#This Row],[Ventas]]=0,0,Indicadores[[#This Row],[UAI]]/Indicadores[[#This Row],[Ventas]])</f>
        <v>1.6922422227233669E-2</v>
      </c>
      <c r="Q655" s="837">
        <f>IFERROR(Indicadores[[#This Row],[Ventas]]/Indicadores[[#This Row],[Activos totales]],0)</f>
        <v>2.7030745413231134</v>
      </c>
    </row>
    <row r="656" spans="1:17" hidden="1" x14ac:dyDescent="0.35">
      <c r="A656" s="13" t="str">
        <f>MID(Indicadores[[#This Row],[CIIU]],2,4)</f>
        <v>4663</v>
      </c>
      <c r="B656" s="13" t="str">
        <f>Indicadores[[#This Row],[CIIU]]&amp;Indicadores[[#This Row],[Año]]</f>
        <v>G46632017</v>
      </c>
      <c r="C656" s="14" t="s">
        <v>2803</v>
      </c>
      <c r="D656" s="14" t="s">
        <v>2823</v>
      </c>
      <c r="E656" s="848">
        <v>2017</v>
      </c>
      <c r="F656" s="849" t="s">
        <v>2872</v>
      </c>
      <c r="G656" s="693" t="s">
        <v>2873</v>
      </c>
      <c r="H656" s="848" t="s">
        <v>2874</v>
      </c>
      <c r="I656" s="693" t="s">
        <v>2873</v>
      </c>
      <c r="J656" s="847">
        <v>-68823255</v>
      </c>
      <c r="K656" s="847">
        <v>553035891</v>
      </c>
      <c r="L656" s="841">
        <v>13794422645</v>
      </c>
      <c r="M656" s="847">
        <v>9759715373</v>
      </c>
      <c r="N656" s="839">
        <f>Indicadores[[#This Row],[Ventas]]/Indicadores[[#This Row],[Activos totales]]</f>
        <v>0.70751169687682136</v>
      </c>
      <c r="O656" s="837">
        <f>IF(Indicadores[[#This Row],[Ventas]]=0,0,Indicadores[[#This Row],[EBITDA]]/Indicadores[[#This Row],[Ventas]])</f>
        <v>5.6665165925838319E-2</v>
      </c>
      <c r="P656" s="837">
        <f>IF(Indicadores[[#This Row],[Ventas]]=0,0,Indicadores[[#This Row],[UAI]]/Indicadores[[#This Row],[Ventas]])</f>
        <v>-7.0517686602211528E-3</v>
      </c>
      <c r="Q656" s="837">
        <f>IFERROR(Indicadores[[#This Row],[Ventas]]/Indicadores[[#This Row],[Activos totales]],0)</f>
        <v>0.70751169687682136</v>
      </c>
    </row>
    <row r="657" spans="1:17" hidden="1" x14ac:dyDescent="0.35">
      <c r="A657" s="13" t="str">
        <f>MID(Indicadores[[#This Row],[CIIU]],2,4)</f>
        <v>4664</v>
      </c>
      <c r="B657" s="13" t="str">
        <f>Indicadores[[#This Row],[CIIU]]&amp;Indicadores[[#This Row],[Año]]</f>
        <v>G46642017</v>
      </c>
      <c r="C657" s="14" t="s">
        <v>2803</v>
      </c>
      <c r="D657" s="14" t="s">
        <v>2823</v>
      </c>
      <c r="E657" s="848">
        <v>2017</v>
      </c>
      <c r="F657" s="849" t="s">
        <v>2875</v>
      </c>
      <c r="G657" s="693" t="s">
        <v>2876</v>
      </c>
      <c r="H657" s="848" t="s">
        <v>2877</v>
      </c>
      <c r="I657" s="693" t="s">
        <v>2876</v>
      </c>
      <c r="J657" s="847">
        <v>270096999.06</v>
      </c>
      <c r="K657" s="847">
        <v>399386406.16000003</v>
      </c>
      <c r="L657" s="841">
        <v>5265470476.7700005</v>
      </c>
      <c r="M657" s="847">
        <v>6928288455.9899998</v>
      </c>
      <c r="N657" s="839">
        <f>Indicadores[[#This Row],[Ventas]]/Indicadores[[#This Row],[Activos totales]]</f>
        <v>1.3157966579731015</v>
      </c>
      <c r="O657" s="837">
        <f>IF(Indicadores[[#This Row],[Ventas]]=0,0,Indicadores[[#This Row],[EBITDA]]/Indicadores[[#This Row],[Ventas]])</f>
        <v>5.7645753160681691E-2</v>
      </c>
      <c r="P657" s="837">
        <f>IF(Indicadores[[#This Row],[Ventas]]=0,0,Indicadores[[#This Row],[UAI]]/Indicadores[[#This Row],[Ventas]])</f>
        <v>3.8984664217680182E-2</v>
      </c>
      <c r="Q657" s="837">
        <f>IFERROR(Indicadores[[#This Row],[Ventas]]/Indicadores[[#This Row],[Activos totales]],0)</f>
        <v>1.3157966579731015</v>
      </c>
    </row>
    <row r="658" spans="1:17" hidden="1" x14ac:dyDescent="0.35">
      <c r="A658" s="13" t="str">
        <f>MID(Indicadores[[#This Row],[CIIU]],2,4)</f>
        <v>4665</v>
      </c>
      <c r="B658" s="13" t="str">
        <f>Indicadores[[#This Row],[CIIU]]&amp;Indicadores[[#This Row],[Año]]</f>
        <v>G46652017</v>
      </c>
      <c r="C658" s="14" t="s">
        <v>2803</v>
      </c>
      <c r="D658" s="14" t="s">
        <v>2823</v>
      </c>
      <c r="E658" s="848">
        <v>2017</v>
      </c>
      <c r="F658" s="849" t="s">
        <v>2878</v>
      </c>
      <c r="G658" s="693" t="s">
        <v>2879</v>
      </c>
      <c r="H658" s="848" t="s">
        <v>2880</v>
      </c>
      <c r="I658" s="693" t="s">
        <v>2879</v>
      </c>
      <c r="J658" s="847">
        <v>24555387</v>
      </c>
      <c r="K658" s="847">
        <v>34323134</v>
      </c>
      <c r="L658" s="841">
        <v>277191076</v>
      </c>
      <c r="M658" s="847">
        <v>639665100</v>
      </c>
      <c r="N658" s="839">
        <f>Indicadores[[#This Row],[Ventas]]/Indicadores[[#This Row],[Activos totales]]</f>
        <v>2.3076684474503066</v>
      </c>
      <c r="O658" s="837">
        <f>IF(Indicadores[[#This Row],[Ventas]]=0,0,Indicadores[[#This Row],[EBITDA]]/Indicadores[[#This Row],[Ventas]])</f>
        <v>5.3657975087276141E-2</v>
      </c>
      <c r="P658" s="837">
        <f>IF(Indicadores[[#This Row],[Ventas]]=0,0,Indicadores[[#This Row],[UAI]]/Indicadores[[#This Row],[Ventas]])</f>
        <v>3.8387879845250272E-2</v>
      </c>
      <c r="Q658" s="837">
        <f>IFERROR(Indicadores[[#This Row],[Ventas]]/Indicadores[[#This Row],[Activos totales]],0)</f>
        <v>2.3076684474503066</v>
      </c>
    </row>
    <row r="659" spans="1:17" hidden="1" x14ac:dyDescent="0.35">
      <c r="A659" s="13" t="str">
        <f>MID(Indicadores[[#This Row],[CIIU]],2,4)</f>
        <v>4669</v>
      </c>
      <c r="B659" s="13" t="str">
        <f>Indicadores[[#This Row],[CIIU]]&amp;Indicadores[[#This Row],[Año]]</f>
        <v>G46692017</v>
      </c>
      <c r="C659" s="14" t="s">
        <v>2803</v>
      </c>
      <c r="D659" s="14" t="s">
        <v>2823</v>
      </c>
      <c r="E659" s="848">
        <v>2017</v>
      </c>
      <c r="F659" s="849" t="s">
        <v>2881</v>
      </c>
      <c r="G659" s="693" t="s">
        <v>2882</v>
      </c>
      <c r="H659" s="848" t="s">
        <v>2883</v>
      </c>
      <c r="I659" s="693" t="s">
        <v>2882</v>
      </c>
      <c r="J659" s="847">
        <v>310439023</v>
      </c>
      <c r="K659" s="847">
        <v>466060347</v>
      </c>
      <c r="L659" s="841">
        <v>4539899664</v>
      </c>
      <c r="M659" s="847">
        <v>6919770623</v>
      </c>
      <c r="N659" s="839">
        <f>Indicadores[[#This Row],[Ventas]]/Indicadores[[#This Row],[Activos totales]]</f>
        <v>1.5242122370834845</v>
      </c>
      <c r="O659" s="837">
        <f>IF(Indicadores[[#This Row],[Ventas]]=0,0,Indicadores[[#This Row],[EBITDA]]/Indicadores[[#This Row],[Ventas]])</f>
        <v>6.7351993641364946E-2</v>
      </c>
      <c r="P659" s="837">
        <f>IF(Indicadores[[#This Row],[Ventas]]=0,0,Indicadores[[#This Row],[UAI]]/Indicadores[[#This Row],[Ventas]])</f>
        <v>4.4862617550957509E-2</v>
      </c>
      <c r="Q659" s="837">
        <f>IFERROR(Indicadores[[#This Row],[Ventas]]/Indicadores[[#This Row],[Activos totales]],0)</f>
        <v>1.5242122370834845</v>
      </c>
    </row>
    <row r="660" spans="1:17" hidden="1" x14ac:dyDescent="0.35">
      <c r="A660" s="13" t="str">
        <f>MID(Indicadores[[#This Row],[CIIU]],2,4)</f>
        <v>4690</v>
      </c>
      <c r="B660" s="13" t="str">
        <f>Indicadores[[#This Row],[CIIU]]&amp;Indicadores[[#This Row],[Año]]</f>
        <v>G46902017</v>
      </c>
      <c r="C660" s="14" t="s">
        <v>2803</v>
      </c>
      <c r="D660" s="14" t="s">
        <v>2823</v>
      </c>
      <c r="E660" s="848">
        <v>2017</v>
      </c>
      <c r="F660" s="849" t="s">
        <v>2884</v>
      </c>
      <c r="G660" s="693" t="s">
        <v>2885</v>
      </c>
      <c r="H660" s="848" t="s">
        <v>2886</v>
      </c>
      <c r="I660" s="693" t="s">
        <v>2885</v>
      </c>
      <c r="J660" s="847">
        <v>822971766</v>
      </c>
      <c r="K660" s="847">
        <v>1946811106</v>
      </c>
      <c r="L660" s="841">
        <v>12837505086</v>
      </c>
      <c r="M660" s="847">
        <v>14062005965</v>
      </c>
      <c r="N660" s="839">
        <f>Indicadores[[#This Row],[Ventas]]/Indicadores[[#This Row],[Activos totales]]</f>
        <v>1.0953846460661103</v>
      </c>
      <c r="O660" s="837">
        <f>IF(Indicadores[[#This Row],[Ventas]]=0,0,Indicadores[[#This Row],[EBITDA]]/Indicadores[[#This Row],[Ventas]])</f>
        <v>0.13844476462643857</v>
      </c>
      <c r="P660" s="837">
        <f>IF(Indicadores[[#This Row],[Ventas]]=0,0,Indicadores[[#This Row],[UAI]]/Indicadores[[#This Row],[Ventas]])</f>
        <v>5.8524492739397013E-2</v>
      </c>
      <c r="Q660" s="837">
        <f>IFERROR(Indicadores[[#This Row],[Ventas]]/Indicadores[[#This Row],[Activos totales]],0)</f>
        <v>1.0953846460661103</v>
      </c>
    </row>
    <row r="661" spans="1:17" hidden="1" x14ac:dyDescent="0.35">
      <c r="A661" s="13" t="str">
        <f>MID(Indicadores[[#This Row],[CIIU]],2,4)</f>
        <v>4711</v>
      </c>
      <c r="B661" s="13" t="str">
        <f>Indicadores[[#This Row],[CIIU]]&amp;Indicadores[[#This Row],[Año]]</f>
        <v>G47112017</v>
      </c>
      <c r="C661" s="14" t="s">
        <v>2803</v>
      </c>
      <c r="D661" s="14" t="s">
        <v>2887</v>
      </c>
      <c r="E661" s="848">
        <v>2017</v>
      </c>
      <c r="F661" s="849" t="s">
        <v>2888</v>
      </c>
      <c r="G661" s="693" t="s">
        <v>2889</v>
      </c>
      <c r="H661" s="848" t="s">
        <v>2890</v>
      </c>
      <c r="I661" s="693" t="s">
        <v>2889</v>
      </c>
      <c r="J661" s="847">
        <v>-189113003</v>
      </c>
      <c r="K661" s="847">
        <v>372678762</v>
      </c>
      <c r="L661" s="841">
        <v>10291761164</v>
      </c>
      <c r="M661" s="847">
        <v>17972119273</v>
      </c>
      <c r="N661" s="839">
        <f>Indicadores[[#This Row],[Ventas]]/Indicadores[[#This Row],[Activos totales]]</f>
        <v>1.7462627616996651</v>
      </c>
      <c r="O661" s="837">
        <f>IF(Indicadores[[#This Row],[Ventas]]=0,0,Indicadores[[#This Row],[EBITDA]]/Indicadores[[#This Row],[Ventas]])</f>
        <v>2.0736495030938582E-2</v>
      </c>
      <c r="P661" s="837">
        <f>IF(Indicadores[[#This Row],[Ventas]]=0,0,Indicadores[[#This Row],[UAI]]/Indicadores[[#This Row],[Ventas]])</f>
        <v>-1.0522576671528637E-2</v>
      </c>
      <c r="Q661" s="837">
        <f>IFERROR(Indicadores[[#This Row],[Ventas]]/Indicadores[[#This Row],[Activos totales]],0)</f>
        <v>1.7462627616996651</v>
      </c>
    </row>
    <row r="662" spans="1:17" hidden="1" x14ac:dyDescent="0.35">
      <c r="A662" s="13" t="str">
        <f>MID(Indicadores[[#This Row],[CIIU]],2,4)</f>
        <v>4719</v>
      </c>
      <c r="B662" s="13" t="str">
        <f>Indicadores[[#This Row],[CIIU]]&amp;Indicadores[[#This Row],[Año]]</f>
        <v>G47192017</v>
      </c>
      <c r="C662" s="14" t="s">
        <v>2803</v>
      </c>
      <c r="D662" s="14" t="s">
        <v>2887</v>
      </c>
      <c r="E662" s="848">
        <v>2017</v>
      </c>
      <c r="F662" s="849" t="s">
        <v>2891</v>
      </c>
      <c r="G662" s="693" t="s">
        <v>2892</v>
      </c>
      <c r="H662" s="848" t="s">
        <v>2893</v>
      </c>
      <c r="I662" s="693" t="s">
        <v>2892</v>
      </c>
      <c r="J662" s="847">
        <v>217734094</v>
      </c>
      <c r="K662" s="847">
        <v>521979717</v>
      </c>
      <c r="L662" s="841">
        <v>5321374788</v>
      </c>
      <c r="M662" s="847">
        <v>7876232705</v>
      </c>
      <c r="N662" s="839">
        <f>Indicadores[[#This Row],[Ventas]]/Indicadores[[#This Row],[Activos totales]]</f>
        <v>1.4801123805001197</v>
      </c>
      <c r="O662" s="837">
        <f>IF(Indicadores[[#This Row],[Ventas]]=0,0,Indicadores[[#This Row],[EBITDA]]/Indicadores[[#This Row],[Ventas]])</f>
        <v>6.6272764727816666E-2</v>
      </c>
      <c r="P662" s="837">
        <f>IF(Indicadores[[#This Row],[Ventas]]=0,0,Indicadores[[#This Row],[UAI]]/Indicadores[[#This Row],[Ventas]])</f>
        <v>2.7644446546351755E-2</v>
      </c>
      <c r="Q662" s="837">
        <f>IFERROR(Indicadores[[#This Row],[Ventas]]/Indicadores[[#This Row],[Activos totales]],0)</f>
        <v>1.4801123805001197</v>
      </c>
    </row>
    <row r="663" spans="1:17" hidden="1" x14ac:dyDescent="0.35">
      <c r="A663" s="13" t="str">
        <f>MID(Indicadores[[#This Row],[CIIU]],2,4)</f>
        <v>4721</v>
      </c>
      <c r="B663" s="13" t="str">
        <f>Indicadores[[#This Row],[CIIU]]&amp;Indicadores[[#This Row],[Año]]</f>
        <v>G47212017</v>
      </c>
      <c r="C663" s="14" t="s">
        <v>2803</v>
      </c>
      <c r="D663" s="14" t="s">
        <v>2887</v>
      </c>
      <c r="E663" s="848">
        <v>2017</v>
      </c>
      <c r="F663" s="849" t="s">
        <v>2894</v>
      </c>
      <c r="G663" s="693" t="s">
        <v>2895</v>
      </c>
      <c r="H663" s="848" t="s">
        <v>2896</v>
      </c>
      <c r="I663" s="693" t="s">
        <v>2895</v>
      </c>
      <c r="J663" s="847">
        <v>31751007</v>
      </c>
      <c r="K663" s="847">
        <v>41703096</v>
      </c>
      <c r="L663" s="841">
        <v>325598025</v>
      </c>
      <c r="M663" s="847">
        <v>339830129</v>
      </c>
      <c r="N663" s="839">
        <f>Indicadores[[#This Row],[Ventas]]/Indicadores[[#This Row],[Activos totales]]</f>
        <v>1.0437106582572175</v>
      </c>
      <c r="O663" s="837">
        <f>IF(Indicadores[[#This Row],[Ventas]]=0,0,Indicadores[[#This Row],[EBITDA]]/Indicadores[[#This Row],[Ventas]])</f>
        <v>0.12271747688386982</v>
      </c>
      <c r="P663" s="837">
        <f>IF(Indicadores[[#This Row],[Ventas]]=0,0,Indicadores[[#This Row],[UAI]]/Indicadores[[#This Row],[Ventas]])</f>
        <v>9.3431995254311312E-2</v>
      </c>
      <c r="Q663" s="837">
        <f>IFERROR(Indicadores[[#This Row],[Ventas]]/Indicadores[[#This Row],[Activos totales]],0)</f>
        <v>1.0437106582572175</v>
      </c>
    </row>
    <row r="664" spans="1:17" hidden="1" x14ac:dyDescent="0.35">
      <c r="A664" s="13" t="str">
        <f>MID(Indicadores[[#This Row],[CIIU]],2,4)</f>
        <v>4722</v>
      </c>
      <c r="B664" s="13" t="str">
        <f>Indicadores[[#This Row],[CIIU]]&amp;Indicadores[[#This Row],[Año]]</f>
        <v>G47222017</v>
      </c>
      <c r="C664" s="14" t="s">
        <v>2803</v>
      </c>
      <c r="D664" s="14" t="s">
        <v>2887</v>
      </c>
      <c r="E664" s="848">
        <v>2017</v>
      </c>
      <c r="F664" s="849" t="s">
        <v>2897</v>
      </c>
      <c r="G664" s="693" t="s">
        <v>2898</v>
      </c>
      <c r="H664" s="848" t="s">
        <v>2899</v>
      </c>
      <c r="I664" s="693" t="s">
        <v>2898</v>
      </c>
      <c r="J664" s="847">
        <v>5737848</v>
      </c>
      <c r="K664" s="847">
        <v>13574499</v>
      </c>
      <c r="L664" s="841">
        <v>177594606</v>
      </c>
      <c r="M664" s="847">
        <v>454925103</v>
      </c>
      <c r="N664" s="839">
        <f>Indicadores[[#This Row],[Ventas]]/Indicadores[[#This Row],[Activos totales]]</f>
        <v>2.5615930193285261</v>
      </c>
      <c r="O664" s="837">
        <f>IF(Indicadores[[#This Row],[Ventas]]=0,0,Indicadores[[#This Row],[EBITDA]]/Indicadores[[#This Row],[Ventas]])</f>
        <v>2.9838975493950703E-2</v>
      </c>
      <c r="P664" s="837">
        <f>IF(Indicadores[[#This Row],[Ventas]]=0,0,Indicadores[[#This Row],[UAI]]/Indicadores[[#This Row],[Ventas]])</f>
        <v>1.2612731111477047E-2</v>
      </c>
      <c r="Q664" s="837">
        <f>IFERROR(Indicadores[[#This Row],[Ventas]]/Indicadores[[#This Row],[Activos totales]],0)</f>
        <v>2.5615930193285261</v>
      </c>
    </row>
    <row r="665" spans="1:17" hidden="1" x14ac:dyDescent="0.35">
      <c r="A665" s="13" t="str">
        <f>MID(Indicadores[[#This Row],[CIIU]],2,4)</f>
        <v>4723</v>
      </c>
      <c r="B665" s="13" t="str">
        <f>Indicadores[[#This Row],[CIIU]]&amp;Indicadores[[#This Row],[Año]]</f>
        <v>G47232017</v>
      </c>
      <c r="C665" s="14" t="s">
        <v>2803</v>
      </c>
      <c r="D665" s="14" t="s">
        <v>2887</v>
      </c>
      <c r="E665" s="848">
        <v>2017</v>
      </c>
      <c r="F665" s="849" t="s">
        <v>2900</v>
      </c>
      <c r="G665" s="693" t="s">
        <v>2901</v>
      </c>
      <c r="H665" s="848" t="s">
        <v>2902</v>
      </c>
      <c r="I665" s="693" t="s">
        <v>2901</v>
      </c>
      <c r="J665" s="847">
        <v>18905366</v>
      </c>
      <c r="K665" s="847">
        <v>37454019</v>
      </c>
      <c r="L665" s="841">
        <v>292398923</v>
      </c>
      <c r="M665" s="847">
        <v>872414066</v>
      </c>
      <c r="N665" s="839">
        <f>Indicadores[[#This Row],[Ventas]]/Indicadores[[#This Row],[Activos totales]]</f>
        <v>2.9836432263466306</v>
      </c>
      <c r="O665" s="837">
        <f>IF(Indicadores[[#This Row],[Ventas]]=0,0,Indicadores[[#This Row],[EBITDA]]/Indicadores[[#This Row],[Ventas]])</f>
        <v>4.2931470800013444E-2</v>
      </c>
      <c r="P665" s="837">
        <f>IF(Indicadores[[#This Row],[Ventas]]=0,0,Indicadores[[#This Row],[UAI]]/Indicadores[[#This Row],[Ventas]])</f>
        <v>2.1670175592973531E-2</v>
      </c>
      <c r="Q665" s="837">
        <f>IFERROR(Indicadores[[#This Row],[Ventas]]/Indicadores[[#This Row],[Activos totales]],0)</f>
        <v>2.9836432263466306</v>
      </c>
    </row>
    <row r="666" spans="1:17" hidden="1" x14ac:dyDescent="0.35">
      <c r="A666" s="13" t="str">
        <f>MID(Indicadores[[#This Row],[CIIU]],2,4)</f>
        <v>4724</v>
      </c>
      <c r="B666" s="13" t="str">
        <f>Indicadores[[#This Row],[CIIU]]&amp;Indicadores[[#This Row],[Año]]</f>
        <v>G47242017</v>
      </c>
      <c r="C666" s="14" t="s">
        <v>2803</v>
      </c>
      <c r="D666" s="14" t="s">
        <v>2887</v>
      </c>
      <c r="E666" s="848">
        <v>2017</v>
      </c>
      <c r="F666" s="849" t="s">
        <v>2903</v>
      </c>
      <c r="G666" s="693" t="s">
        <v>2904</v>
      </c>
      <c r="H666" s="848" t="s">
        <v>2905</v>
      </c>
      <c r="I666" s="693" t="s">
        <v>2904</v>
      </c>
      <c r="J666" s="847">
        <v>4539067</v>
      </c>
      <c r="K666" s="847">
        <v>6525387</v>
      </c>
      <c r="L666" s="841">
        <v>93864576</v>
      </c>
      <c r="M666" s="847">
        <v>171696695</v>
      </c>
      <c r="N666" s="839">
        <f>Indicadores[[#This Row],[Ventas]]/Indicadores[[#This Row],[Activos totales]]</f>
        <v>1.8291958725728437</v>
      </c>
      <c r="O666" s="837">
        <f>IF(Indicadores[[#This Row],[Ventas]]=0,0,Indicadores[[#This Row],[EBITDA]]/Indicadores[[#This Row],[Ventas]])</f>
        <v>3.8005315128517764E-2</v>
      </c>
      <c r="P666" s="837">
        <f>IF(Indicadores[[#This Row],[Ventas]]=0,0,Indicadores[[#This Row],[UAI]]/Indicadores[[#This Row],[Ventas]])</f>
        <v>2.6436542648651449E-2</v>
      </c>
      <c r="Q666" s="837">
        <f>IFERROR(Indicadores[[#This Row],[Ventas]]/Indicadores[[#This Row],[Activos totales]],0)</f>
        <v>1.8291958725728437</v>
      </c>
    </row>
    <row r="667" spans="1:17" hidden="1" x14ac:dyDescent="0.35">
      <c r="A667" s="13" t="str">
        <f>MID(Indicadores[[#This Row],[CIIU]],2,4)</f>
        <v>4729</v>
      </c>
      <c r="B667" s="13" t="str">
        <f>Indicadores[[#This Row],[CIIU]]&amp;Indicadores[[#This Row],[Año]]</f>
        <v>G47292017</v>
      </c>
      <c r="C667" s="14" t="s">
        <v>2803</v>
      </c>
      <c r="D667" s="14" t="s">
        <v>2887</v>
      </c>
      <c r="E667" s="848">
        <v>2017</v>
      </c>
      <c r="F667" s="849" t="s">
        <v>2906</v>
      </c>
      <c r="G667" s="693" t="s">
        <v>2907</v>
      </c>
      <c r="H667" s="848" t="s">
        <v>2908</v>
      </c>
      <c r="I667" s="693" t="s">
        <v>2907</v>
      </c>
      <c r="J667" s="847">
        <v>21566954</v>
      </c>
      <c r="K667" s="847">
        <v>33455460</v>
      </c>
      <c r="L667" s="841">
        <v>309037735</v>
      </c>
      <c r="M667" s="847">
        <v>692354894</v>
      </c>
      <c r="N667" s="839">
        <f>Indicadores[[#This Row],[Ventas]]/Indicadores[[#This Row],[Activos totales]]</f>
        <v>2.2403571330860292</v>
      </c>
      <c r="O667" s="837">
        <f>IF(Indicadores[[#This Row],[Ventas]]=0,0,Indicadores[[#This Row],[EBITDA]]/Indicadores[[#This Row],[Ventas]])</f>
        <v>4.8321258779171712E-2</v>
      </c>
      <c r="P667" s="837">
        <f>IF(Indicadores[[#This Row],[Ventas]]=0,0,Indicadores[[#This Row],[UAI]]/Indicadores[[#This Row],[Ventas]])</f>
        <v>3.1150143065212448E-2</v>
      </c>
      <c r="Q667" s="837">
        <f>IFERROR(Indicadores[[#This Row],[Ventas]]/Indicadores[[#This Row],[Activos totales]],0)</f>
        <v>2.2403571330860292</v>
      </c>
    </row>
    <row r="668" spans="1:17" hidden="1" x14ac:dyDescent="0.35">
      <c r="A668" s="13" t="str">
        <f>MID(Indicadores[[#This Row],[CIIU]],2,4)</f>
        <v>4731</v>
      </c>
      <c r="B668" s="13" t="str">
        <f>Indicadores[[#This Row],[CIIU]]&amp;Indicadores[[#This Row],[Año]]</f>
        <v>G47312017</v>
      </c>
      <c r="C668" s="14" t="s">
        <v>2803</v>
      </c>
      <c r="D668" s="14" t="s">
        <v>2887</v>
      </c>
      <c r="E668" s="848">
        <v>2017</v>
      </c>
      <c r="F668" s="849" t="s">
        <v>2909</v>
      </c>
      <c r="G668" s="693" t="s">
        <v>2910</v>
      </c>
      <c r="H668" s="848" t="s">
        <v>2911</v>
      </c>
      <c r="I668" s="693" t="s">
        <v>2910</v>
      </c>
      <c r="J668" s="847">
        <v>137377537</v>
      </c>
      <c r="K668" s="847">
        <v>277656460</v>
      </c>
      <c r="L668" s="841">
        <v>3607406881</v>
      </c>
      <c r="M668" s="847">
        <v>9047660721</v>
      </c>
      <c r="N668" s="839">
        <f>Indicadores[[#This Row],[Ventas]]/Indicadores[[#This Row],[Activos totales]]</f>
        <v>2.5080787999417247</v>
      </c>
      <c r="O668" s="837">
        <f>IF(Indicadores[[#This Row],[Ventas]]=0,0,Indicadores[[#This Row],[EBITDA]]/Indicadores[[#This Row],[Ventas]])</f>
        <v>3.0688204228917174E-2</v>
      </c>
      <c r="P668" s="837">
        <f>IF(Indicadores[[#This Row],[Ventas]]=0,0,Indicadores[[#This Row],[UAI]]/Indicadores[[#This Row],[Ventas]])</f>
        <v>1.518376310034935E-2</v>
      </c>
      <c r="Q668" s="837">
        <f>IFERROR(Indicadores[[#This Row],[Ventas]]/Indicadores[[#This Row],[Activos totales]],0)</f>
        <v>2.5080787999417247</v>
      </c>
    </row>
    <row r="669" spans="1:17" hidden="1" x14ac:dyDescent="0.35">
      <c r="A669" s="13" t="str">
        <f>MID(Indicadores[[#This Row],[CIIU]],2,4)</f>
        <v>4732</v>
      </c>
      <c r="B669" s="13" t="str">
        <f>Indicadores[[#This Row],[CIIU]]&amp;Indicadores[[#This Row],[Año]]</f>
        <v>G47322017</v>
      </c>
      <c r="C669" s="14" t="s">
        <v>2803</v>
      </c>
      <c r="D669" s="14" t="s">
        <v>2887</v>
      </c>
      <c r="E669" s="848">
        <v>2017</v>
      </c>
      <c r="F669" s="849" t="s">
        <v>2912</v>
      </c>
      <c r="G669" s="693" t="s">
        <v>2913</v>
      </c>
      <c r="H669" s="848" t="s">
        <v>2914</v>
      </c>
      <c r="I669" s="693" t="s">
        <v>2913</v>
      </c>
      <c r="J669" s="847">
        <v>18023866</v>
      </c>
      <c r="K669" s="847">
        <v>33604984</v>
      </c>
      <c r="L669" s="841">
        <v>391960288</v>
      </c>
      <c r="M669" s="847">
        <v>579184982</v>
      </c>
      <c r="N669" s="839">
        <f>Indicadores[[#This Row],[Ventas]]/Indicadores[[#This Row],[Activos totales]]</f>
        <v>1.4776624054322565</v>
      </c>
      <c r="O669" s="837">
        <f>IF(Indicadores[[#This Row],[Ventas]]=0,0,Indicadores[[#This Row],[EBITDA]]/Indicadores[[#This Row],[Ventas]])</f>
        <v>5.8021159119073983E-2</v>
      </c>
      <c r="P669" s="837">
        <f>IF(Indicadores[[#This Row],[Ventas]]=0,0,Indicadores[[#This Row],[UAI]]/Indicadores[[#This Row],[Ventas]])</f>
        <v>3.1119360066556422E-2</v>
      </c>
      <c r="Q669" s="837">
        <f>IFERROR(Indicadores[[#This Row],[Ventas]]/Indicadores[[#This Row],[Activos totales]],0)</f>
        <v>1.4776624054322565</v>
      </c>
    </row>
    <row r="670" spans="1:17" hidden="1" x14ac:dyDescent="0.35">
      <c r="A670" s="13" t="str">
        <f>MID(Indicadores[[#This Row],[CIIU]],2,4)</f>
        <v>4741</v>
      </c>
      <c r="B670" s="13" t="str">
        <f>Indicadores[[#This Row],[CIIU]]&amp;Indicadores[[#This Row],[Año]]</f>
        <v>G47412017</v>
      </c>
      <c r="C670" s="14" t="s">
        <v>2803</v>
      </c>
      <c r="D670" s="14" t="s">
        <v>2887</v>
      </c>
      <c r="E670" s="848">
        <v>2017</v>
      </c>
      <c r="F670" s="849" t="s">
        <v>2915</v>
      </c>
      <c r="G670" s="693" t="s">
        <v>2916</v>
      </c>
      <c r="H670" s="848" t="s">
        <v>2917</v>
      </c>
      <c r="I670" s="693" t="s">
        <v>2916</v>
      </c>
      <c r="J670" s="847">
        <v>37289503</v>
      </c>
      <c r="K670" s="847">
        <v>95616568</v>
      </c>
      <c r="L670" s="841">
        <v>972194625</v>
      </c>
      <c r="M670" s="847">
        <v>1866371276</v>
      </c>
      <c r="N670" s="839">
        <f>Indicadores[[#This Row],[Ventas]]/Indicadores[[#This Row],[Activos totales]]</f>
        <v>1.9197506630938224</v>
      </c>
      <c r="O670" s="837">
        <f>IF(Indicadores[[#This Row],[Ventas]]=0,0,Indicadores[[#This Row],[EBITDA]]/Indicadores[[#This Row],[Ventas]])</f>
        <v>5.1231268520658478E-2</v>
      </c>
      <c r="P670" s="837">
        <f>IF(Indicadores[[#This Row],[Ventas]]=0,0,Indicadores[[#This Row],[UAI]]/Indicadores[[#This Row],[Ventas]])</f>
        <v>1.9979681148929125E-2</v>
      </c>
      <c r="Q670" s="837">
        <f>IFERROR(Indicadores[[#This Row],[Ventas]]/Indicadores[[#This Row],[Activos totales]],0)</f>
        <v>1.9197506630938224</v>
      </c>
    </row>
    <row r="671" spans="1:17" hidden="1" x14ac:dyDescent="0.35">
      <c r="A671" s="13" t="str">
        <f>MID(Indicadores[[#This Row],[CIIU]],2,4)</f>
        <v>4742</v>
      </c>
      <c r="B671" s="13" t="str">
        <f>Indicadores[[#This Row],[CIIU]]&amp;Indicadores[[#This Row],[Año]]</f>
        <v>G47422017</v>
      </c>
      <c r="C671" s="14" t="s">
        <v>2803</v>
      </c>
      <c r="D671" s="14" t="s">
        <v>2887</v>
      </c>
      <c r="E671" s="848">
        <v>2017</v>
      </c>
      <c r="F671" s="849" t="s">
        <v>2918</v>
      </c>
      <c r="G671" s="693" t="s">
        <v>2919</v>
      </c>
      <c r="H671" s="848" t="s">
        <v>2920</v>
      </c>
      <c r="I671" s="693" t="s">
        <v>2919</v>
      </c>
      <c r="J671" s="847">
        <v>15457908</v>
      </c>
      <c r="K671" s="847">
        <v>16485839</v>
      </c>
      <c r="L671" s="841">
        <v>107962094</v>
      </c>
      <c r="M671" s="847">
        <v>133066127</v>
      </c>
      <c r="N671" s="839">
        <f>Indicadores[[#This Row],[Ventas]]/Indicadores[[#This Row],[Activos totales]]</f>
        <v>1.2325263624471752</v>
      </c>
      <c r="O671" s="837">
        <f>IF(Indicadores[[#This Row],[Ventas]]=0,0,Indicadores[[#This Row],[EBITDA]]/Indicadores[[#This Row],[Ventas]])</f>
        <v>0.12389207810940496</v>
      </c>
      <c r="P671" s="837">
        <f>IF(Indicadores[[#This Row],[Ventas]]=0,0,Indicadores[[#This Row],[UAI]]/Indicadores[[#This Row],[Ventas]])</f>
        <v>0.11616711441522605</v>
      </c>
      <c r="Q671" s="837">
        <f>IFERROR(Indicadores[[#This Row],[Ventas]]/Indicadores[[#This Row],[Activos totales]],0)</f>
        <v>1.2325263624471752</v>
      </c>
    </row>
    <row r="672" spans="1:17" hidden="1" x14ac:dyDescent="0.35">
      <c r="A672" s="13" t="str">
        <f>MID(Indicadores[[#This Row],[CIIU]],2,4)</f>
        <v>4751</v>
      </c>
      <c r="B672" s="13" t="str">
        <f>Indicadores[[#This Row],[CIIU]]&amp;Indicadores[[#This Row],[Año]]</f>
        <v>G47512017</v>
      </c>
      <c r="C672" s="14" t="s">
        <v>2803</v>
      </c>
      <c r="D672" s="14" t="s">
        <v>2887</v>
      </c>
      <c r="E672" s="848">
        <v>2017</v>
      </c>
      <c r="F672" s="849" t="s">
        <v>2921</v>
      </c>
      <c r="G672" s="693" t="s">
        <v>2922</v>
      </c>
      <c r="H672" s="848" t="s">
        <v>2923</v>
      </c>
      <c r="I672" s="693" t="s">
        <v>2922</v>
      </c>
      <c r="J672" s="847">
        <v>29794065</v>
      </c>
      <c r="K672" s="847">
        <v>44271486</v>
      </c>
      <c r="L672" s="841">
        <v>540795968</v>
      </c>
      <c r="M672" s="847">
        <v>537011128</v>
      </c>
      <c r="N672" s="839">
        <f>Indicadores[[#This Row],[Ventas]]/Indicadores[[#This Row],[Activos totales]]</f>
        <v>0.99300135314618321</v>
      </c>
      <c r="O672" s="837">
        <f>IF(Indicadores[[#This Row],[Ventas]]=0,0,Indicadores[[#This Row],[EBITDA]]/Indicadores[[#This Row],[Ventas]])</f>
        <v>8.2440537433332295E-2</v>
      </c>
      <c r="P672" s="837">
        <f>IF(Indicadores[[#This Row],[Ventas]]=0,0,Indicadores[[#This Row],[UAI]]/Indicadores[[#This Row],[Ventas]])</f>
        <v>5.5481280454955491E-2</v>
      </c>
      <c r="Q672" s="837">
        <f>IFERROR(Indicadores[[#This Row],[Ventas]]/Indicadores[[#This Row],[Activos totales]],0)</f>
        <v>0.99300135314618321</v>
      </c>
    </row>
    <row r="673" spans="1:17" hidden="1" x14ac:dyDescent="0.35">
      <c r="A673" s="13" t="str">
        <f>MID(Indicadores[[#This Row],[CIIU]],2,4)</f>
        <v>4752</v>
      </c>
      <c r="B673" s="13" t="str">
        <f>Indicadores[[#This Row],[CIIU]]&amp;Indicadores[[#This Row],[Año]]</f>
        <v>G47522017</v>
      </c>
      <c r="C673" s="14" t="s">
        <v>2803</v>
      </c>
      <c r="D673" s="14" t="s">
        <v>2887</v>
      </c>
      <c r="E673" s="848">
        <v>2017</v>
      </c>
      <c r="F673" s="849" t="s">
        <v>2924</v>
      </c>
      <c r="G673" s="693" t="s">
        <v>2925</v>
      </c>
      <c r="H673" s="848" t="s">
        <v>2926</v>
      </c>
      <c r="I673" s="693" t="s">
        <v>2925</v>
      </c>
      <c r="J673" s="847">
        <v>125433423</v>
      </c>
      <c r="K673" s="847">
        <v>192643207</v>
      </c>
      <c r="L673" s="841">
        <v>1961996147</v>
      </c>
      <c r="M673" s="847">
        <v>2874568393</v>
      </c>
      <c r="N673" s="839">
        <f>Indicadores[[#This Row],[Ventas]]/Indicadores[[#This Row],[Activos totales]]</f>
        <v>1.4651243823263227</v>
      </c>
      <c r="O673" s="837">
        <f>IF(Indicadores[[#This Row],[Ventas]]=0,0,Indicadores[[#This Row],[EBITDA]]/Indicadores[[#This Row],[Ventas]])</f>
        <v>6.7016393650300599E-2</v>
      </c>
      <c r="P673" s="837">
        <f>IF(Indicadores[[#This Row],[Ventas]]=0,0,Indicadores[[#This Row],[UAI]]/Indicadores[[#This Row],[Ventas]])</f>
        <v>4.3635567449168709E-2</v>
      </c>
      <c r="Q673" s="837">
        <f>IFERROR(Indicadores[[#This Row],[Ventas]]/Indicadores[[#This Row],[Activos totales]],0)</f>
        <v>1.4651243823263227</v>
      </c>
    </row>
    <row r="674" spans="1:17" hidden="1" x14ac:dyDescent="0.35">
      <c r="A674" s="13" t="str">
        <f>MID(Indicadores[[#This Row],[CIIU]],2,4)</f>
        <v>4753</v>
      </c>
      <c r="B674" s="13" t="str">
        <f>Indicadores[[#This Row],[CIIU]]&amp;Indicadores[[#This Row],[Año]]</f>
        <v>G47532017</v>
      </c>
      <c r="C674" s="14" t="s">
        <v>2803</v>
      </c>
      <c r="D674" s="14" t="s">
        <v>2887</v>
      </c>
      <c r="E674" s="848">
        <v>2017</v>
      </c>
      <c r="F674" s="849" t="s">
        <v>2927</v>
      </c>
      <c r="G674" s="693" t="s">
        <v>2928</v>
      </c>
      <c r="H674" s="848" t="s">
        <v>2929</v>
      </c>
      <c r="I674" s="693" t="s">
        <v>2928</v>
      </c>
      <c r="J674" s="847">
        <v>1275337</v>
      </c>
      <c r="K674" s="847">
        <v>2979870</v>
      </c>
      <c r="L674" s="841">
        <v>39939116</v>
      </c>
      <c r="M674" s="847">
        <v>63433120</v>
      </c>
      <c r="N674" s="839">
        <f>Indicadores[[#This Row],[Ventas]]/Indicadores[[#This Row],[Activos totales]]</f>
        <v>1.5882454684274936</v>
      </c>
      <c r="O674" s="837">
        <f>IF(Indicadores[[#This Row],[Ventas]]=0,0,Indicadores[[#This Row],[EBITDA]]/Indicadores[[#This Row],[Ventas]])</f>
        <v>4.697656366264185E-2</v>
      </c>
      <c r="P674" s="837">
        <f>IF(Indicadores[[#This Row],[Ventas]]=0,0,Indicadores[[#This Row],[UAI]]/Indicadores[[#This Row],[Ventas]])</f>
        <v>2.010522263448495E-2</v>
      </c>
      <c r="Q674" s="837">
        <f>IFERROR(Indicadores[[#This Row],[Ventas]]/Indicadores[[#This Row],[Activos totales]],0)</f>
        <v>1.5882454684274936</v>
      </c>
    </row>
    <row r="675" spans="1:17" hidden="1" x14ac:dyDescent="0.35">
      <c r="A675" s="13" t="str">
        <f>MID(Indicadores[[#This Row],[CIIU]],2,4)</f>
        <v>4754</v>
      </c>
      <c r="B675" s="13" t="str">
        <f>Indicadores[[#This Row],[CIIU]]&amp;Indicadores[[#This Row],[Año]]</f>
        <v>G47542017</v>
      </c>
      <c r="C675" s="14" t="s">
        <v>2803</v>
      </c>
      <c r="D675" s="14" t="s">
        <v>2887</v>
      </c>
      <c r="E675" s="848">
        <v>2017</v>
      </c>
      <c r="F675" s="849" t="s">
        <v>2930</v>
      </c>
      <c r="G675" s="693" t="s">
        <v>2931</v>
      </c>
      <c r="H675" s="848" t="s">
        <v>2932</v>
      </c>
      <c r="I675" s="693" t="s">
        <v>2931</v>
      </c>
      <c r="J675" s="847">
        <v>34732842</v>
      </c>
      <c r="K675" s="847">
        <v>89973593</v>
      </c>
      <c r="L675" s="841">
        <v>1703067505</v>
      </c>
      <c r="M675" s="847">
        <v>1781770116</v>
      </c>
      <c r="N675" s="839">
        <f>Indicadores[[#This Row],[Ventas]]/Indicadores[[#This Row],[Activos totales]]</f>
        <v>1.0462122674344609</v>
      </c>
      <c r="O675" s="837">
        <f>IF(Indicadores[[#This Row],[Ventas]]=0,0,Indicadores[[#This Row],[EBITDA]]/Indicadores[[#This Row],[Ventas]])</f>
        <v>5.0496746012323401E-2</v>
      </c>
      <c r="P675" s="837">
        <f>IF(Indicadores[[#This Row],[Ventas]]=0,0,Indicadores[[#This Row],[UAI]]/Indicadores[[#This Row],[Ventas]])</f>
        <v>1.9493447380279218E-2</v>
      </c>
      <c r="Q675" s="837">
        <f>IFERROR(Indicadores[[#This Row],[Ventas]]/Indicadores[[#This Row],[Activos totales]],0)</f>
        <v>1.0462122674344609</v>
      </c>
    </row>
    <row r="676" spans="1:17" hidden="1" x14ac:dyDescent="0.35">
      <c r="A676" s="13" t="str">
        <f>MID(Indicadores[[#This Row],[CIIU]],2,4)</f>
        <v>4755</v>
      </c>
      <c r="B676" s="13" t="str">
        <f>Indicadores[[#This Row],[CIIU]]&amp;Indicadores[[#This Row],[Año]]</f>
        <v>G47552017</v>
      </c>
      <c r="C676" s="14" t="s">
        <v>2803</v>
      </c>
      <c r="D676" s="14" t="s">
        <v>2887</v>
      </c>
      <c r="E676" s="848">
        <v>2017</v>
      </c>
      <c r="F676" s="849" t="s">
        <v>2933</v>
      </c>
      <c r="G676" s="693" t="s">
        <v>2934</v>
      </c>
      <c r="H676" s="848" t="s">
        <v>2935</v>
      </c>
      <c r="I676" s="693" t="s">
        <v>2934</v>
      </c>
      <c r="J676" s="847">
        <v>-14074411</v>
      </c>
      <c r="K676" s="847">
        <v>22003334</v>
      </c>
      <c r="L676" s="841">
        <v>447231737</v>
      </c>
      <c r="M676" s="847">
        <v>541374172</v>
      </c>
      <c r="N676" s="839">
        <f>Indicadores[[#This Row],[Ventas]]/Indicadores[[#This Row],[Activos totales]]</f>
        <v>1.2105003451488059</v>
      </c>
      <c r="O676" s="837">
        <f>IF(Indicadores[[#This Row],[Ventas]]=0,0,Indicadores[[#This Row],[EBITDA]]/Indicadores[[#This Row],[Ventas]])</f>
        <v>4.064348677498416E-2</v>
      </c>
      <c r="P676" s="837">
        <f>IF(Indicadores[[#This Row],[Ventas]]=0,0,Indicadores[[#This Row],[UAI]]/Indicadores[[#This Row],[Ventas]])</f>
        <v>-2.5997566429896105E-2</v>
      </c>
      <c r="Q676" s="837">
        <f>IFERROR(Indicadores[[#This Row],[Ventas]]/Indicadores[[#This Row],[Activos totales]],0)</f>
        <v>1.2105003451488059</v>
      </c>
    </row>
    <row r="677" spans="1:17" hidden="1" x14ac:dyDescent="0.35">
      <c r="A677" s="13" t="str">
        <f>MID(Indicadores[[#This Row],[CIIU]],2,4)</f>
        <v>4759</v>
      </c>
      <c r="B677" s="13" t="str">
        <f>Indicadores[[#This Row],[CIIU]]&amp;Indicadores[[#This Row],[Año]]</f>
        <v>G47592017</v>
      </c>
      <c r="C677" s="14" t="s">
        <v>2803</v>
      </c>
      <c r="D677" s="14" t="s">
        <v>2887</v>
      </c>
      <c r="E677" s="848">
        <v>2017</v>
      </c>
      <c r="F677" s="849" t="s">
        <v>2936</v>
      </c>
      <c r="G677" s="693" t="s">
        <v>2937</v>
      </c>
      <c r="H677" s="848" t="s">
        <v>2938</v>
      </c>
      <c r="I677" s="693" t="s">
        <v>2937</v>
      </c>
      <c r="J677" s="847">
        <v>28965989</v>
      </c>
      <c r="K677" s="847">
        <v>42685383</v>
      </c>
      <c r="L677" s="841">
        <v>326617902</v>
      </c>
      <c r="M677" s="847">
        <v>451263172</v>
      </c>
      <c r="N677" s="839">
        <f>Indicadores[[#This Row],[Ventas]]/Indicadores[[#This Row],[Activos totales]]</f>
        <v>1.381624121754355</v>
      </c>
      <c r="O677" s="837">
        <f>IF(Indicadores[[#This Row],[Ventas]]=0,0,Indicadores[[#This Row],[EBITDA]]/Indicadores[[#This Row],[Ventas]])</f>
        <v>9.4590885426830265E-2</v>
      </c>
      <c r="P677" s="837">
        <f>IF(Indicadores[[#This Row],[Ventas]]=0,0,Indicadores[[#This Row],[UAI]]/Indicadores[[#This Row],[Ventas]])</f>
        <v>6.4188683671265775E-2</v>
      </c>
      <c r="Q677" s="837">
        <f>IFERROR(Indicadores[[#This Row],[Ventas]]/Indicadores[[#This Row],[Activos totales]],0)</f>
        <v>1.381624121754355</v>
      </c>
    </row>
    <row r="678" spans="1:17" hidden="1" x14ac:dyDescent="0.35">
      <c r="A678" s="13" t="str">
        <f>MID(Indicadores[[#This Row],[CIIU]],2,4)</f>
        <v>4761</v>
      </c>
      <c r="B678" s="13" t="str">
        <f>Indicadores[[#This Row],[CIIU]]&amp;Indicadores[[#This Row],[Año]]</f>
        <v>G47612017</v>
      </c>
      <c r="C678" s="14" t="s">
        <v>2803</v>
      </c>
      <c r="D678" s="14" t="s">
        <v>2887</v>
      </c>
      <c r="E678" s="848">
        <v>2017</v>
      </c>
      <c r="F678" s="849" t="s">
        <v>2939</v>
      </c>
      <c r="G678" s="693" t="s">
        <v>2940</v>
      </c>
      <c r="H678" s="848" t="s">
        <v>2941</v>
      </c>
      <c r="I678" s="693" t="s">
        <v>2940</v>
      </c>
      <c r="J678" s="847">
        <v>-181403455</v>
      </c>
      <c r="K678" s="847">
        <v>-148353626</v>
      </c>
      <c r="L678" s="841">
        <v>1452991531</v>
      </c>
      <c r="M678" s="847">
        <v>5956748043</v>
      </c>
      <c r="N678" s="839">
        <f>Indicadores[[#This Row],[Ventas]]/Indicadores[[#This Row],[Activos totales]]</f>
        <v>4.0996440212561707</v>
      </c>
      <c r="O678" s="837">
        <f>IF(Indicadores[[#This Row],[Ventas]]=0,0,Indicadores[[#This Row],[EBITDA]]/Indicadores[[#This Row],[Ventas]])</f>
        <v>-2.490513698566384E-2</v>
      </c>
      <c r="P678" s="837">
        <f>IF(Indicadores[[#This Row],[Ventas]]=0,0,Indicadores[[#This Row],[UAI]]/Indicadores[[#This Row],[Ventas]])</f>
        <v>-3.0453437629139622E-2</v>
      </c>
      <c r="Q678" s="837">
        <f>IFERROR(Indicadores[[#This Row],[Ventas]]/Indicadores[[#This Row],[Activos totales]],0)</f>
        <v>4.0996440212561707</v>
      </c>
    </row>
    <row r="679" spans="1:17" hidden="1" x14ac:dyDescent="0.35">
      <c r="A679" s="13" t="str">
        <f>MID(Indicadores[[#This Row],[CIIU]],2,4)</f>
        <v>4762</v>
      </c>
      <c r="B679" s="13" t="str">
        <f>Indicadores[[#This Row],[CIIU]]&amp;Indicadores[[#This Row],[Año]]</f>
        <v>G47622017</v>
      </c>
      <c r="C679" s="14" t="s">
        <v>2803</v>
      </c>
      <c r="D679" s="14" t="s">
        <v>2887</v>
      </c>
      <c r="E679" s="848">
        <v>2017</v>
      </c>
      <c r="F679" s="849" t="s">
        <v>2942</v>
      </c>
      <c r="G679" s="693" t="s">
        <v>2943</v>
      </c>
      <c r="H679" s="848" t="s">
        <v>2944</v>
      </c>
      <c r="I679" s="693" t="s">
        <v>2945</v>
      </c>
      <c r="J679" s="847">
        <v>5523789</v>
      </c>
      <c r="K679" s="847">
        <v>10137658</v>
      </c>
      <c r="L679" s="841">
        <v>167792081</v>
      </c>
      <c r="M679" s="847">
        <v>145119886</v>
      </c>
      <c r="N679" s="839">
        <f>Indicadores[[#This Row],[Ventas]]/Indicadores[[#This Row],[Activos totales]]</f>
        <v>0.8648792311003044</v>
      </c>
      <c r="O679" s="837">
        <f>IF(Indicadores[[#This Row],[Ventas]]=0,0,Indicadores[[#This Row],[EBITDA]]/Indicadores[[#This Row],[Ventas]])</f>
        <v>6.985712488776348E-2</v>
      </c>
      <c r="P679" s="837">
        <f>IF(Indicadores[[#This Row],[Ventas]]=0,0,Indicadores[[#This Row],[UAI]]/Indicadores[[#This Row],[Ventas]])</f>
        <v>3.8063625546122602E-2</v>
      </c>
      <c r="Q679" s="837">
        <f>IFERROR(Indicadores[[#This Row],[Ventas]]/Indicadores[[#This Row],[Activos totales]],0)</f>
        <v>0.8648792311003044</v>
      </c>
    </row>
    <row r="680" spans="1:17" hidden="1" x14ac:dyDescent="0.35">
      <c r="A680" s="13" t="str">
        <f>MID(Indicadores[[#This Row],[CIIU]],2,4)</f>
        <v>4769</v>
      </c>
      <c r="B680" s="13" t="str">
        <f>Indicadores[[#This Row],[CIIU]]&amp;Indicadores[[#This Row],[Año]]</f>
        <v>G47692017</v>
      </c>
      <c r="C680" s="14" t="s">
        <v>2803</v>
      </c>
      <c r="D680" s="14" t="s">
        <v>2887</v>
      </c>
      <c r="E680" s="848">
        <v>2017</v>
      </c>
      <c r="F680" s="849" t="s">
        <v>2946</v>
      </c>
      <c r="G680" s="693" t="s">
        <v>2947</v>
      </c>
      <c r="H680" s="848" t="s">
        <v>2948</v>
      </c>
      <c r="I680" s="693" t="s">
        <v>2947</v>
      </c>
      <c r="J680" s="847">
        <v>1550668</v>
      </c>
      <c r="K680" s="847">
        <v>1867935</v>
      </c>
      <c r="L680" s="841">
        <v>13036218</v>
      </c>
      <c r="M680" s="847">
        <v>20291280</v>
      </c>
      <c r="N680" s="839">
        <f>Indicadores[[#This Row],[Ventas]]/Indicadores[[#This Row],[Activos totales]]</f>
        <v>1.5565311963945372</v>
      </c>
      <c r="O680" s="837">
        <f>IF(Indicadores[[#This Row],[Ventas]]=0,0,Indicadores[[#This Row],[EBITDA]]/Indicadores[[#This Row],[Ventas]])</f>
        <v>9.2056045749701346E-2</v>
      </c>
      <c r="P680" s="837">
        <f>IF(Indicadores[[#This Row],[Ventas]]=0,0,Indicadores[[#This Row],[UAI]]/Indicadores[[#This Row],[Ventas]])</f>
        <v>7.6420413103559751E-2</v>
      </c>
      <c r="Q680" s="837">
        <f>IFERROR(Indicadores[[#This Row],[Ventas]]/Indicadores[[#This Row],[Activos totales]],0)</f>
        <v>1.5565311963945372</v>
      </c>
    </row>
    <row r="681" spans="1:17" hidden="1" x14ac:dyDescent="0.35">
      <c r="A681" s="13" t="str">
        <f>MID(Indicadores[[#This Row],[CIIU]],2,4)</f>
        <v>4771</v>
      </c>
      <c r="B681" s="13" t="str">
        <f>Indicadores[[#This Row],[CIIU]]&amp;Indicadores[[#This Row],[Año]]</f>
        <v>G47712017</v>
      </c>
      <c r="C681" s="14" t="s">
        <v>2803</v>
      </c>
      <c r="D681" s="14" t="s">
        <v>2887</v>
      </c>
      <c r="E681" s="848">
        <v>2017</v>
      </c>
      <c r="F681" s="849" t="s">
        <v>2949</v>
      </c>
      <c r="G681" s="693" t="s">
        <v>2950</v>
      </c>
      <c r="H681" s="848" t="s">
        <v>2951</v>
      </c>
      <c r="I681" s="693" t="s">
        <v>2950</v>
      </c>
      <c r="J681" s="847">
        <v>113306759</v>
      </c>
      <c r="K681" s="847">
        <v>267159885</v>
      </c>
      <c r="L681" s="841">
        <v>2819396872</v>
      </c>
      <c r="M681" s="847">
        <v>4126526438</v>
      </c>
      <c r="N681" s="839">
        <f>Indicadores[[#This Row],[Ventas]]/Indicadores[[#This Row],[Activos totales]]</f>
        <v>1.4636202795645294</v>
      </c>
      <c r="O681" s="837">
        <f>IF(Indicadores[[#This Row],[Ventas]]=0,0,Indicadores[[#This Row],[EBITDA]]/Indicadores[[#This Row],[Ventas]])</f>
        <v>6.4742075208776353E-2</v>
      </c>
      <c r="P681" s="837">
        <f>IF(Indicadores[[#This Row],[Ventas]]=0,0,Indicadores[[#This Row],[UAI]]/Indicadores[[#This Row],[Ventas]])</f>
        <v>2.7458144447249994E-2</v>
      </c>
      <c r="Q681" s="837">
        <f>IFERROR(Indicadores[[#This Row],[Ventas]]/Indicadores[[#This Row],[Activos totales]],0)</f>
        <v>1.4636202795645294</v>
      </c>
    </row>
    <row r="682" spans="1:17" hidden="1" x14ac:dyDescent="0.35">
      <c r="A682" s="13" t="str">
        <f>MID(Indicadores[[#This Row],[CIIU]],2,4)</f>
        <v>4772</v>
      </c>
      <c r="B682" s="13" t="str">
        <f>Indicadores[[#This Row],[CIIU]]&amp;Indicadores[[#This Row],[Año]]</f>
        <v>G47722017</v>
      </c>
      <c r="C682" s="14" t="s">
        <v>2803</v>
      </c>
      <c r="D682" s="14" t="s">
        <v>2887</v>
      </c>
      <c r="E682" s="848">
        <v>2017</v>
      </c>
      <c r="F682" s="849" t="s">
        <v>2952</v>
      </c>
      <c r="G682" s="693" t="s">
        <v>2953</v>
      </c>
      <c r="H682" s="848" t="s">
        <v>2954</v>
      </c>
      <c r="I682" s="693" t="s">
        <v>2955</v>
      </c>
      <c r="J682" s="847">
        <v>-46923270</v>
      </c>
      <c r="K682" s="847">
        <v>-15025080</v>
      </c>
      <c r="L682" s="841">
        <v>1040826853</v>
      </c>
      <c r="M682" s="847">
        <v>1182819878</v>
      </c>
      <c r="N682" s="839">
        <f>Indicadores[[#This Row],[Ventas]]/Indicadores[[#This Row],[Activos totales]]</f>
        <v>1.1364232913387371</v>
      </c>
      <c r="O682" s="837">
        <f>IF(Indicadores[[#This Row],[Ventas]]=0,0,Indicadores[[#This Row],[EBITDA]]/Indicadores[[#This Row],[Ventas]])</f>
        <v>-1.2702762508020684E-2</v>
      </c>
      <c r="P682" s="837">
        <f>IF(Indicadores[[#This Row],[Ventas]]=0,0,Indicadores[[#This Row],[UAI]]/Indicadores[[#This Row],[Ventas]])</f>
        <v>-3.9670680948769105E-2</v>
      </c>
      <c r="Q682" s="837">
        <f>IFERROR(Indicadores[[#This Row],[Ventas]]/Indicadores[[#This Row],[Activos totales]],0)</f>
        <v>1.1364232913387371</v>
      </c>
    </row>
    <row r="683" spans="1:17" hidden="1" x14ac:dyDescent="0.35">
      <c r="A683" s="13" t="str">
        <f>MID(Indicadores[[#This Row],[CIIU]],2,4)</f>
        <v>4773</v>
      </c>
      <c r="B683" s="13" t="str">
        <f>Indicadores[[#This Row],[CIIU]]&amp;Indicadores[[#This Row],[Año]]</f>
        <v>G47732017</v>
      </c>
      <c r="C683" s="14" t="s">
        <v>2803</v>
      </c>
      <c r="D683" s="14" t="s">
        <v>2887</v>
      </c>
      <c r="E683" s="848">
        <v>2017</v>
      </c>
      <c r="F683" s="849" t="s">
        <v>2956</v>
      </c>
      <c r="G683" s="693" t="s">
        <v>2957</v>
      </c>
      <c r="H683" s="848" t="s">
        <v>2958</v>
      </c>
      <c r="I683" s="693" t="s">
        <v>2957</v>
      </c>
      <c r="J683" s="847">
        <v>39188347</v>
      </c>
      <c r="K683" s="847">
        <v>142178773</v>
      </c>
      <c r="L683" s="841">
        <v>2923973427</v>
      </c>
      <c r="M683" s="847">
        <v>3785307448</v>
      </c>
      <c r="N683" s="839">
        <f>Indicadores[[#This Row],[Ventas]]/Indicadores[[#This Row],[Activos totales]]</f>
        <v>1.2945765556712769</v>
      </c>
      <c r="O683" s="837">
        <f>IF(Indicadores[[#This Row],[Ventas]]=0,0,Indicadores[[#This Row],[EBITDA]]/Indicadores[[#This Row],[Ventas]])</f>
        <v>3.7560693537620406E-2</v>
      </c>
      <c r="P683" s="837">
        <f>IF(Indicadores[[#This Row],[Ventas]]=0,0,Indicadores[[#This Row],[UAI]]/Indicadores[[#This Row],[Ventas]])</f>
        <v>1.0352751404831198E-2</v>
      </c>
      <c r="Q683" s="837">
        <f>IFERROR(Indicadores[[#This Row],[Ventas]]/Indicadores[[#This Row],[Activos totales]],0)</f>
        <v>1.2945765556712769</v>
      </c>
    </row>
    <row r="684" spans="1:17" hidden="1" x14ac:dyDescent="0.35">
      <c r="A684" s="13" t="str">
        <f>MID(Indicadores[[#This Row],[CIIU]],2,4)</f>
        <v>4774</v>
      </c>
      <c r="B684" s="13" t="str">
        <f>Indicadores[[#This Row],[CIIU]]&amp;Indicadores[[#This Row],[Año]]</f>
        <v>G47742017</v>
      </c>
      <c r="C684" s="14" t="s">
        <v>2803</v>
      </c>
      <c r="D684" s="14" t="s">
        <v>2887</v>
      </c>
      <c r="E684" s="848">
        <v>2017</v>
      </c>
      <c r="F684" s="849" t="s">
        <v>2959</v>
      </c>
      <c r="G684" s="693" t="s">
        <v>2960</v>
      </c>
      <c r="H684" s="848" t="s">
        <v>2961</v>
      </c>
      <c r="I684" s="693" t="s">
        <v>2960</v>
      </c>
      <c r="J684" s="847">
        <v>60308945</v>
      </c>
      <c r="K684" s="847">
        <v>112380516</v>
      </c>
      <c r="L684" s="841">
        <v>1291432514</v>
      </c>
      <c r="M684" s="847">
        <v>1731137513</v>
      </c>
      <c r="N684" s="839">
        <f>Indicadores[[#This Row],[Ventas]]/Indicadores[[#This Row],[Activos totales]]</f>
        <v>1.3404784951852311</v>
      </c>
      <c r="O684" s="837">
        <f>IF(Indicadores[[#This Row],[Ventas]]=0,0,Indicadores[[#This Row],[EBITDA]]/Indicadores[[#This Row],[Ventas]])</f>
        <v>6.4917151385188665E-2</v>
      </c>
      <c r="P684" s="837">
        <f>IF(Indicadores[[#This Row],[Ventas]]=0,0,Indicadores[[#This Row],[UAI]]/Indicadores[[#This Row],[Ventas]])</f>
        <v>3.4837755260404897E-2</v>
      </c>
      <c r="Q684" s="837">
        <f>IFERROR(Indicadores[[#This Row],[Ventas]]/Indicadores[[#This Row],[Activos totales]],0)</f>
        <v>1.3404784951852311</v>
      </c>
    </row>
    <row r="685" spans="1:17" hidden="1" x14ac:dyDescent="0.35">
      <c r="A685" s="13" t="str">
        <f>MID(Indicadores[[#This Row],[CIIU]],2,4)</f>
        <v>4775</v>
      </c>
      <c r="B685" s="13" t="str">
        <f>Indicadores[[#This Row],[CIIU]]&amp;Indicadores[[#This Row],[Año]]</f>
        <v>G47752017</v>
      </c>
      <c r="C685" s="14" t="s">
        <v>2803</v>
      </c>
      <c r="D685" s="14" t="s">
        <v>2887</v>
      </c>
      <c r="E685" s="848">
        <v>2017</v>
      </c>
      <c r="F685" s="849" t="s">
        <v>2962</v>
      </c>
      <c r="G685" s="693" t="s">
        <v>2963</v>
      </c>
      <c r="H685" s="848" t="s">
        <v>2964</v>
      </c>
      <c r="I685" s="693" t="s">
        <v>2963</v>
      </c>
      <c r="J685" s="847">
        <v>4801412</v>
      </c>
      <c r="K685" s="847">
        <v>5759785</v>
      </c>
      <c r="L685" s="841">
        <v>78864699</v>
      </c>
      <c r="M685" s="847">
        <v>32387627</v>
      </c>
      <c r="N685" s="839">
        <f>Indicadores[[#This Row],[Ventas]]/Indicadores[[#This Row],[Activos totales]]</f>
        <v>0.41067331024746573</v>
      </c>
      <c r="O685" s="837">
        <f>IF(Indicadores[[#This Row],[Ventas]]=0,0,Indicadores[[#This Row],[EBITDA]]/Indicadores[[#This Row],[Ventas]])</f>
        <v>0.17783905563689492</v>
      </c>
      <c r="P685" s="837">
        <f>IF(Indicadores[[#This Row],[Ventas]]=0,0,Indicadores[[#This Row],[UAI]]/Indicadores[[#This Row],[Ventas]])</f>
        <v>0.14824834187450658</v>
      </c>
      <c r="Q685" s="837">
        <f>IFERROR(Indicadores[[#This Row],[Ventas]]/Indicadores[[#This Row],[Activos totales]],0)</f>
        <v>0.41067331024746573</v>
      </c>
    </row>
    <row r="686" spans="1:17" hidden="1" x14ac:dyDescent="0.35">
      <c r="A686" s="13" t="str">
        <f>MID(Indicadores[[#This Row],[CIIU]],2,4)</f>
        <v>4781</v>
      </c>
      <c r="B686" s="13" t="str">
        <f>Indicadores[[#This Row],[CIIU]]&amp;Indicadores[[#This Row],[Año]]</f>
        <v>G47812017</v>
      </c>
      <c r="C686" s="14" t="s">
        <v>2803</v>
      </c>
      <c r="D686" s="14" t="s">
        <v>2887</v>
      </c>
      <c r="E686" s="848">
        <v>2017</v>
      </c>
      <c r="F686" s="849" t="s">
        <v>2965</v>
      </c>
      <c r="G686" s="838" t="s">
        <v>2966</v>
      </c>
      <c r="H686" s="848" t="s">
        <v>2967</v>
      </c>
      <c r="I686" s="693" t="s">
        <v>2966</v>
      </c>
      <c r="J686" s="847">
        <v>3148658</v>
      </c>
      <c r="K686" s="847">
        <v>3161464</v>
      </c>
      <c r="L686" s="841">
        <v>19032627</v>
      </c>
      <c r="M686" s="847">
        <v>40857926</v>
      </c>
      <c r="N686" s="839">
        <f>Indicadores[[#This Row],[Ventas]]/Indicadores[[#This Row],[Activos totales]]</f>
        <v>2.1467307692206652</v>
      </c>
      <c r="O686" s="837">
        <f>IF(Indicadores[[#This Row],[Ventas]]=0,0,Indicadores[[#This Row],[EBITDA]]/Indicadores[[#This Row],[Ventas]])</f>
        <v>7.7377006361017936E-2</v>
      </c>
      <c r="P686" s="837">
        <f>IF(Indicadores[[#This Row],[Ventas]]=0,0,Indicadores[[#This Row],[UAI]]/Indicadores[[#This Row],[Ventas]])</f>
        <v>7.7063578802311211E-2</v>
      </c>
      <c r="Q686" s="837">
        <f>IFERROR(Indicadores[[#This Row],[Ventas]]/Indicadores[[#This Row],[Activos totales]],0)</f>
        <v>2.1467307692206652</v>
      </c>
    </row>
    <row r="687" spans="1:17" hidden="1" x14ac:dyDescent="0.35">
      <c r="A687" s="13" t="str">
        <f>MID(Indicadores[[#This Row],[CIIU]],2,4)</f>
        <v>4791</v>
      </c>
      <c r="B687" s="13" t="str">
        <f>Indicadores[[#This Row],[CIIU]]&amp;Indicadores[[#This Row],[Año]]</f>
        <v>G47912017</v>
      </c>
      <c r="C687" s="14" t="s">
        <v>2803</v>
      </c>
      <c r="D687" s="14" t="s">
        <v>2887</v>
      </c>
      <c r="E687" s="848">
        <v>2017</v>
      </c>
      <c r="F687" s="849" t="s">
        <v>2968</v>
      </c>
      <c r="G687" s="693" t="s">
        <v>2969</v>
      </c>
      <c r="H687" s="848" t="s">
        <v>2970</v>
      </c>
      <c r="I687" s="693" t="s">
        <v>2971</v>
      </c>
      <c r="J687" s="847">
        <v>-20864925</v>
      </c>
      <c r="K687" s="847">
        <v>-13554815</v>
      </c>
      <c r="L687" s="841">
        <v>351570017</v>
      </c>
      <c r="M687" s="847">
        <v>428032247</v>
      </c>
      <c r="N687" s="839">
        <f>Indicadores[[#This Row],[Ventas]]/Indicadores[[#This Row],[Activos totales]]</f>
        <v>1.217487915074396</v>
      </c>
      <c r="O687" s="837">
        <f>IF(Indicadores[[#This Row],[Ventas]]=0,0,Indicadores[[#This Row],[EBITDA]]/Indicadores[[#This Row],[Ventas]])</f>
        <v>-3.1667742547444096E-2</v>
      </c>
      <c r="P687" s="837">
        <f>IF(Indicadores[[#This Row],[Ventas]]=0,0,Indicadores[[#This Row],[UAI]]/Indicadores[[#This Row],[Ventas]])</f>
        <v>-4.8746152062697279E-2</v>
      </c>
      <c r="Q687" s="837">
        <f>IFERROR(Indicadores[[#This Row],[Ventas]]/Indicadores[[#This Row],[Activos totales]],0)</f>
        <v>1.217487915074396</v>
      </c>
    </row>
    <row r="688" spans="1:17" hidden="1" x14ac:dyDescent="0.35">
      <c r="A688" s="13" t="str">
        <f>MID(Indicadores[[#This Row],[CIIU]],2,4)</f>
        <v>4799</v>
      </c>
      <c r="B688" s="13" t="str">
        <f>Indicadores[[#This Row],[CIIU]]&amp;Indicadores[[#This Row],[Año]]</f>
        <v>G47992017</v>
      </c>
      <c r="C688" s="14" t="s">
        <v>2803</v>
      </c>
      <c r="D688" s="14" t="s">
        <v>2887</v>
      </c>
      <c r="E688" s="848">
        <v>2017</v>
      </c>
      <c r="F688" s="849" t="s">
        <v>2975</v>
      </c>
      <c r="G688" s="693" t="s">
        <v>2976</v>
      </c>
      <c r="H688" s="848" t="s">
        <v>2977</v>
      </c>
      <c r="I688" s="693" t="s">
        <v>2978</v>
      </c>
      <c r="J688" s="847">
        <v>20659323</v>
      </c>
      <c r="K688" s="847">
        <v>53773944</v>
      </c>
      <c r="L688" s="841">
        <v>1590274971</v>
      </c>
      <c r="M688" s="847">
        <v>1224925468</v>
      </c>
      <c r="N688" s="839">
        <f>Indicadores[[#This Row],[Ventas]]/Indicadores[[#This Row],[Activos totales]]</f>
        <v>0.77026016905097849</v>
      </c>
      <c r="O688" s="837">
        <f>IF(Indicadores[[#This Row],[Ventas]]=0,0,Indicadores[[#This Row],[EBITDA]]/Indicadores[[#This Row],[Ventas]])</f>
        <v>4.3899768112258729E-2</v>
      </c>
      <c r="P688" s="837">
        <f>IF(Indicadores[[#This Row],[Ventas]]=0,0,Indicadores[[#This Row],[UAI]]/Indicadores[[#This Row],[Ventas]])</f>
        <v>1.6865779624724072E-2</v>
      </c>
      <c r="Q688" s="837">
        <f>IFERROR(Indicadores[[#This Row],[Ventas]]/Indicadores[[#This Row],[Activos totales]],0)</f>
        <v>0.77026016905097849</v>
      </c>
    </row>
    <row r="689" spans="1:17" hidden="1" x14ac:dyDescent="0.35">
      <c r="A689" s="13" t="str">
        <f>MID(Indicadores[[#This Row],[CIIU]],2,4)</f>
        <v>4911</v>
      </c>
      <c r="B689" s="13" t="str">
        <f>Indicadores[[#This Row],[CIIU]]&amp;Indicadores[[#This Row],[Año]]</f>
        <v>H49112017</v>
      </c>
      <c r="C689" s="14" t="s">
        <v>2979</v>
      </c>
      <c r="D689" s="14" t="s">
        <v>2980</v>
      </c>
      <c r="E689" s="848">
        <v>2017</v>
      </c>
      <c r="F689" s="849" t="s">
        <v>2981</v>
      </c>
      <c r="G689" s="693" t="s">
        <v>2982</v>
      </c>
      <c r="H689" s="848" t="s">
        <v>2983</v>
      </c>
      <c r="I689" s="693" t="s">
        <v>2982</v>
      </c>
      <c r="J689" s="847">
        <v>343859</v>
      </c>
      <c r="K689" s="847">
        <v>843994</v>
      </c>
      <c r="L689" s="841">
        <v>21004101</v>
      </c>
      <c r="M689" s="847">
        <v>3491217</v>
      </c>
      <c r="N689" s="839">
        <f>Indicadores[[#This Row],[Ventas]]/Indicadores[[#This Row],[Activos totales]]</f>
        <v>0.16621596896720311</v>
      </c>
      <c r="O689" s="837">
        <f>IF(Indicadores[[#This Row],[Ventas]]=0,0,Indicadores[[#This Row],[EBITDA]]/Indicadores[[#This Row],[Ventas]])</f>
        <v>0.24174779167264596</v>
      </c>
      <c r="P689" s="837">
        <f>IF(Indicadores[[#This Row],[Ventas]]=0,0,Indicadores[[#This Row],[UAI]]/Indicadores[[#This Row],[Ventas]])</f>
        <v>9.8492588687555088E-2</v>
      </c>
      <c r="Q689" s="837">
        <f>IFERROR(Indicadores[[#This Row],[Ventas]]/Indicadores[[#This Row],[Activos totales]],0)</f>
        <v>0.16621596896720311</v>
      </c>
    </row>
    <row r="690" spans="1:17" hidden="1" x14ac:dyDescent="0.35">
      <c r="A690" s="13" t="str">
        <f>MID(Indicadores[[#This Row],[CIIU]],2,4)</f>
        <v>4912</v>
      </c>
      <c r="B690" s="13" t="str">
        <f>Indicadores[[#This Row],[CIIU]]&amp;Indicadores[[#This Row],[Año]]</f>
        <v>H49122017</v>
      </c>
      <c r="C690" s="14" t="s">
        <v>2979</v>
      </c>
      <c r="D690" s="14" t="s">
        <v>2980</v>
      </c>
      <c r="E690" s="848">
        <v>2017</v>
      </c>
      <c r="F690" s="849" t="s">
        <v>2984</v>
      </c>
      <c r="G690" s="693" t="s">
        <v>2985</v>
      </c>
      <c r="H690" s="848" t="s">
        <v>2986</v>
      </c>
      <c r="I690" s="693" t="s">
        <v>2987</v>
      </c>
      <c r="J690" s="847">
        <v>15761673</v>
      </c>
      <c r="K690" s="847">
        <v>15967531</v>
      </c>
      <c r="L690" s="841">
        <v>49212195</v>
      </c>
      <c r="M690" s="847">
        <v>80000</v>
      </c>
      <c r="N690" s="839">
        <f>Indicadores[[#This Row],[Ventas]]/Indicadores[[#This Row],[Activos totales]]</f>
        <v>1.6256133261278022E-3</v>
      </c>
      <c r="O690" s="837">
        <f>IF(Indicadores[[#This Row],[Ventas]]=0,0,Indicadores[[#This Row],[EBITDA]]/Indicadores[[#This Row],[Ventas]])</f>
        <v>199.59413749999999</v>
      </c>
      <c r="P690" s="837">
        <f>IF(Indicadores[[#This Row],[Ventas]]=0,0,Indicadores[[#This Row],[UAI]]/Indicadores[[#This Row],[Ventas]])</f>
        <v>197.02091250000001</v>
      </c>
      <c r="Q690" s="837">
        <f>IFERROR(Indicadores[[#This Row],[Ventas]]/Indicadores[[#This Row],[Activos totales]],0)</f>
        <v>1.6256133261278022E-3</v>
      </c>
    </row>
    <row r="691" spans="1:17" hidden="1" x14ac:dyDescent="0.35">
      <c r="A691" s="13" t="str">
        <f>MID(Indicadores[[#This Row],[CIIU]],2,4)</f>
        <v>4921</v>
      </c>
      <c r="B691" s="13" t="str">
        <f>Indicadores[[#This Row],[CIIU]]&amp;Indicadores[[#This Row],[Año]]</f>
        <v>H49212017</v>
      </c>
      <c r="C691" s="14" t="s">
        <v>2979</v>
      </c>
      <c r="D691" s="14" t="s">
        <v>2980</v>
      </c>
      <c r="E691" s="848">
        <v>2017</v>
      </c>
      <c r="F691" s="849" t="s">
        <v>2988</v>
      </c>
      <c r="G691" s="693" t="s">
        <v>2989</v>
      </c>
      <c r="H691" s="848" t="s">
        <v>2990</v>
      </c>
      <c r="I691" s="693" t="s">
        <v>2989</v>
      </c>
      <c r="J691" s="847">
        <v>-808138</v>
      </c>
      <c r="K691" s="847">
        <v>9903225</v>
      </c>
      <c r="L691" s="841">
        <v>659696179</v>
      </c>
      <c r="M691" s="847">
        <v>210897786</v>
      </c>
      <c r="N691" s="839">
        <f>Indicadores[[#This Row],[Ventas]]/Indicadores[[#This Row],[Activos totales]]</f>
        <v>0.31968926410895582</v>
      </c>
      <c r="O691" s="837">
        <f>IF(Indicadores[[#This Row],[Ventas]]=0,0,Indicadores[[#This Row],[EBITDA]]/Indicadores[[#This Row],[Ventas]])</f>
        <v>4.6957463081191378E-2</v>
      </c>
      <c r="P691" s="837">
        <f>IF(Indicadores[[#This Row],[Ventas]]=0,0,Indicadores[[#This Row],[UAI]]/Indicadores[[#This Row],[Ventas]])</f>
        <v>-3.8318941859351715E-3</v>
      </c>
      <c r="Q691" s="837">
        <f>IFERROR(Indicadores[[#This Row],[Ventas]]/Indicadores[[#This Row],[Activos totales]],0)</f>
        <v>0.31968926410895582</v>
      </c>
    </row>
    <row r="692" spans="1:17" hidden="1" x14ac:dyDescent="0.35">
      <c r="A692" s="13" t="str">
        <f>MID(Indicadores[[#This Row],[CIIU]],2,4)</f>
        <v>4923</v>
      </c>
      <c r="B692" s="13" t="str">
        <f>Indicadores[[#This Row],[CIIU]]&amp;Indicadores[[#This Row],[Año]]</f>
        <v>H49232017</v>
      </c>
      <c r="C692" s="14" t="s">
        <v>2979</v>
      </c>
      <c r="D692" s="14" t="s">
        <v>2980</v>
      </c>
      <c r="E692" s="848">
        <v>2017</v>
      </c>
      <c r="F692" s="849" t="s">
        <v>2991</v>
      </c>
      <c r="G692" s="693" t="s">
        <v>2992</v>
      </c>
      <c r="H692" s="848" t="s">
        <v>2993</v>
      </c>
      <c r="I692" s="693" t="s">
        <v>2992</v>
      </c>
      <c r="J692" s="847">
        <v>52731457</v>
      </c>
      <c r="K692" s="847">
        <v>91546472</v>
      </c>
      <c r="L692" s="841">
        <v>1550269365</v>
      </c>
      <c r="M692" s="847">
        <v>674196678</v>
      </c>
      <c r="N692" s="839">
        <f>Indicadores[[#This Row],[Ventas]]/Indicadores[[#This Row],[Activos totales]]</f>
        <v>0.43489002183823711</v>
      </c>
      <c r="O692" s="837">
        <f>IF(Indicadores[[#This Row],[Ventas]]=0,0,Indicadores[[#This Row],[EBITDA]]/Indicadores[[#This Row],[Ventas]])</f>
        <v>0.13578600279012351</v>
      </c>
      <c r="P692" s="837">
        <f>IF(Indicadores[[#This Row],[Ventas]]=0,0,Indicadores[[#This Row],[UAI]]/Indicadores[[#This Row],[Ventas]])</f>
        <v>7.8213759753945275E-2</v>
      </c>
      <c r="Q692" s="837">
        <f>IFERROR(Indicadores[[#This Row],[Ventas]]/Indicadores[[#This Row],[Activos totales]],0)</f>
        <v>0.43489002183823711</v>
      </c>
    </row>
    <row r="693" spans="1:17" hidden="1" x14ac:dyDescent="0.35">
      <c r="A693" s="13" t="str">
        <f>MID(Indicadores[[#This Row],[CIIU]],2,4)</f>
        <v>4930</v>
      </c>
      <c r="B693" s="13" t="str">
        <f>Indicadores[[#This Row],[CIIU]]&amp;Indicadores[[#This Row],[Año]]</f>
        <v>H49302017</v>
      </c>
      <c r="C693" s="14" t="s">
        <v>2979</v>
      </c>
      <c r="D693" s="14" t="s">
        <v>2980</v>
      </c>
      <c r="E693" s="848">
        <v>2017</v>
      </c>
      <c r="F693" s="849" t="s">
        <v>2994</v>
      </c>
      <c r="G693" s="838" t="s">
        <v>2995</v>
      </c>
      <c r="H693" s="848" t="s">
        <v>2996</v>
      </c>
      <c r="I693" s="693" t="s">
        <v>2995</v>
      </c>
      <c r="J693" s="847">
        <v>3777307923</v>
      </c>
      <c r="K693" s="847">
        <v>2520875623</v>
      </c>
      <c r="L693" s="841">
        <v>27673720053</v>
      </c>
      <c r="M693" s="847">
        <v>4091395212</v>
      </c>
      <c r="N693" s="839">
        <f>Indicadores[[#This Row],[Ventas]]/Indicadores[[#This Row],[Activos totales]]</f>
        <v>0.14784406303757733</v>
      </c>
      <c r="O693" s="837">
        <f>IF(Indicadores[[#This Row],[Ventas]]=0,0,Indicadores[[#This Row],[EBITDA]]/Indicadores[[#This Row],[Ventas]])</f>
        <v>0.61614082540995063</v>
      </c>
      <c r="P693" s="837">
        <f>IF(Indicadores[[#This Row],[Ventas]]=0,0,Indicadores[[#This Row],[UAI]]/Indicadores[[#This Row],[Ventas]])</f>
        <v>0.92323222941680461</v>
      </c>
      <c r="Q693" s="837">
        <f>IFERROR(Indicadores[[#This Row],[Ventas]]/Indicadores[[#This Row],[Activos totales]],0)</f>
        <v>0.14784406303757733</v>
      </c>
    </row>
    <row r="694" spans="1:17" hidden="1" x14ac:dyDescent="0.35">
      <c r="A694" s="13" t="str">
        <f>MID(Indicadores[[#This Row],[CIIU]],2,4)</f>
        <v>5012</v>
      </c>
      <c r="B694" s="13" t="str">
        <f>Indicadores[[#This Row],[CIIU]]&amp;Indicadores[[#This Row],[Año]]</f>
        <v>H50122017</v>
      </c>
      <c r="C694" s="14" t="s">
        <v>2979</v>
      </c>
      <c r="D694" s="14" t="s">
        <v>2997</v>
      </c>
      <c r="E694" s="848">
        <v>2017</v>
      </c>
      <c r="F694" s="849" t="s">
        <v>3002</v>
      </c>
      <c r="G694" s="693" t="s">
        <v>3003</v>
      </c>
      <c r="H694" s="848" t="s">
        <v>3004</v>
      </c>
      <c r="I694" s="693" t="s">
        <v>3005</v>
      </c>
      <c r="J694" s="847">
        <v>11763167</v>
      </c>
      <c r="K694" s="847">
        <v>15935513</v>
      </c>
      <c r="L694" s="841">
        <v>101523694</v>
      </c>
      <c r="M694" s="847">
        <v>54200054</v>
      </c>
      <c r="N694" s="839">
        <f>Indicadores[[#This Row],[Ventas]]/Indicadores[[#This Row],[Activos totales]]</f>
        <v>0.53386605495264983</v>
      </c>
      <c r="O694" s="837">
        <f>IF(Indicadores[[#This Row],[Ventas]]=0,0,Indicadores[[#This Row],[EBITDA]]/Indicadores[[#This Row],[Ventas]])</f>
        <v>0.29401286205360605</v>
      </c>
      <c r="P694" s="837">
        <f>IF(Indicadores[[#This Row],[Ventas]]=0,0,Indicadores[[#This Row],[UAI]]/Indicadores[[#This Row],[Ventas]])</f>
        <v>0.21703238524448704</v>
      </c>
      <c r="Q694" s="837">
        <f>IFERROR(Indicadores[[#This Row],[Ventas]]/Indicadores[[#This Row],[Activos totales]],0)</f>
        <v>0.53386605495264983</v>
      </c>
    </row>
    <row r="695" spans="1:17" hidden="1" x14ac:dyDescent="0.35">
      <c r="A695" s="13" t="str">
        <f>MID(Indicadores[[#This Row],[CIIU]],2,4)</f>
        <v>5022</v>
      </c>
      <c r="B695" s="13" t="str">
        <f>Indicadores[[#This Row],[CIIU]]&amp;Indicadores[[#This Row],[Año]]</f>
        <v>H50222017</v>
      </c>
      <c r="C695" s="14" t="s">
        <v>2979</v>
      </c>
      <c r="D695" s="14" t="s">
        <v>2997</v>
      </c>
      <c r="E695" s="848">
        <v>2017</v>
      </c>
      <c r="F695" s="849" t="s">
        <v>3006</v>
      </c>
      <c r="G695" s="838" t="s">
        <v>3007</v>
      </c>
      <c r="H695" s="848" t="s">
        <v>3008</v>
      </c>
      <c r="I695" s="693" t="s">
        <v>3007</v>
      </c>
      <c r="J695" s="847">
        <v>-86737</v>
      </c>
      <c r="K695" s="847">
        <v>-66765</v>
      </c>
      <c r="L695" s="841">
        <v>7655661</v>
      </c>
      <c r="M695" s="847">
        <v>6878</v>
      </c>
      <c r="N695" s="839">
        <f>Indicadores[[#This Row],[Ventas]]/Indicadores[[#This Row],[Activos totales]]</f>
        <v>8.984201364193111E-4</v>
      </c>
      <c r="O695" s="837">
        <f>IF(Indicadores[[#This Row],[Ventas]]=0,0,Indicadores[[#This Row],[EBITDA]]/Indicadores[[#This Row],[Ventas]])</f>
        <v>-9.7070369293399246</v>
      </c>
      <c r="P695" s="837">
        <f>IF(Indicadores[[#This Row],[Ventas]]=0,0,Indicadores[[#This Row],[UAI]]/Indicadores[[#This Row],[Ventas]])</f>
        <v>-12.610788019773191</v>
      </c>
      <c r="Q695" s="837">
        <f>IFERROR(Indicadores[[#This Row],[Ventas]]/Indicadores[[#This Row],[Activos totales]],0)</f>
        <v>8.984201364193111E-4</v>
      </c>
    </row>
    <row r="696" spans="1:17" hidden="1" x14ac:dyDescent="0.35">
      <c r="A696" s="13" t="str">
        <f>MID(Indicadores[[#This Row],[CIIU]],2,4)</f>
        <v>5111</v>
      </c>
      <c r="B696" s="13" t="str">
        <f>Indicadores[[#This Row],[CIIU]]&amp;Indicadores[[#This Row],[Año]]</f>
        <v>H51112017</v>
      </c>
      <c r="C696" s="14" t="s">
        <v>2979</v>
      </c>
      <c r="D696" s="14" t="s">
        <v>3009</v>
      </c>
      <c r="E696" s="848">
        <v>2017</v>
      </c>
      <c r="F696" s="849" t="s">
        <v>3010</v>
      </c>
      <c r="G696" s="693" t="s">
        <v>3011</v>
      </c>
      <c r="H696" s="848" t="s">
        <v>3012</v>
      </c>
      <c r="I696" s="693" t="s">
        <v>3013</v>
      </c>
      <c r="J696" s="847">
        <v>944208</v>
      </c>
      <c r="K696" s="847">
        <v>1480082</v>
      </c>
      <c r="L696" s="841">
        <v>4405226</v>
      </c>
      <c r="M696" s="847">
        <v>4668990</v>
      </c>
      <c r="N696" s="839">
        <f>Indicadores[[#This Row],[Ventas]]/Indicadores[[#This Row],[Activos totales]]</f>
        <v>1.0598752481711495</v>
      </c>
      <c r="O696" s="837">
        <f>IF(Indicadores[[#This Row],[Ventas]]=0,0,Indicadores[[#This Row],[EBITDA]]/Indicadores[[#This Row],[Ventas]])</f>
        <v>0.31700260655944862</v>
      </c>
      <c r="P696" s="837">
        <f>IF(Indicadores[[#This Row],[Ventas]]=0,0,Indicadores[[#This Row],[UAI]]/Indicadores[[#This Row],[Ventas]])</f>
        <v>0.20222960426130704</v>
      </c>
      <c r="Q696" s="837">
        <f>IFERROR(Indicadores[[#This Row],[Ventas]]/Indicadores[[#This Row],[Activos totales]],0)</f>
        <v>1.0598752481711495</v>
      </c>
    </row>
    <row r="697" spans="1:17" hidden="1" x14ac:dyDescent="0.35">
      <c r="A697" s="13" t="str">
        <f>MID(Indicadores[[#This Row],[CIIU]],2,4)</f>
        <v>5121</v>
      </c>
      <c r="B697" s="13" t="str">
        <f>Indicadores[[#This Row],[CIIU]]&amp;Indicadores[[#This Row],[Año]]</f>
        <v>H51212017</v>
      </c>
      <c r="C697" s="14" t="s">
        <v>2979</v>
      </c>
      <c r="D697" s="14" t="s">
        <v>3009</v>
      </c>
      <c r="E697" s="848">
        <v>2017</v>
      </c>
      <c r="F697" s="849" t="s">
        <v>3014</v>
      </c>
      <c r="G697" s="693" t="s">
        <v>3015</v>
      </c>
      <c r="H697" s="848" t="s">
        <v>3016</v>
      </c>
      <c r="I697" s="693" t="s">
        <v>3017</v>
      </c>
      <c r="J697" s="847">
        <v>249757</v>
      </c>
      <c r="K697" s="847">
        <v>381844</v>
      </c>
      <c r="L697" s="841">
        <v>2253500</v>
      </c>
      <c r="M697" s="847">
        <v>6742794</v>
      </c>
      <c r="N697" s="839">
        <f>Indicadores[[#This Row],[Ventas]]/Indicadores[[#This Row],[Activos totales]]</f>
        <v>2.9921428888395827</v>
      </c>
      <c r="O697" s="837">
        <f>IF(Indicadores[[#This Row],[Ventas]]=0,0,Indicadores[[#This Row],[EBITDA]]/Indicadores[[#This Row],[Ventas]])</f>
        <v>5.6629937085427788E-2</v>
      </c>
      <c r="P697" s="837">
        <f>IF(Indicadores[[#This Row],[Ventas]]=0,0,Indicadores[[#This Row],[UAI]]/Indicadores[[#This Row],[Ventas]])</f>
        <v>3.7040579913905129E-2</v>
      </c>
      <c r="Q697" s="837">
        <f>IFERROR(Indicadores[[#This Row],[Ventas]]/Indicadores[[#This Row],[Activos totales]],0)</f>
        <v>2.9921428888395827</v>
      </c>
    </row>
    <row r="698" spans="1:17" hidden="1" x14ac:dyDescent="0.35">
      <c r="A698" s="13" t="str">
        <f>MID(Indicadores[[#This Row],[CIIU]],2,4)</f>
        <v>5122</v>
      </c>
      <c r="B698" s="13" t="str">
        <f>Indicadores[[#This Row],[CIIU]]&amp;Indicadores[[#This Row],[Año]]</f>
        <v>H51222017</v>
      </c>
      <c r="C698" s="14" t="s">
        <v>2979</v>
      </c>
      <c r="D698" s="14" t="s">
        <v>3009</v>
      </c>
      <c r="E698" s="848">
        <v>2017</v>
      </c>
      <c r="F698" s="849" t="s">
        <v>3018</v>
      </c>
      <c r="G698" s="693" t="s">
        <v>3019</v>
      </c>
      <c r="H698" s="848" t="s">
        <v>3020</v>
      </c>
      <c r="I698" s="693" t="s">
        <v>3021</v>
      </c>
      <c r="J698" s="847">
        <v>1138336</v>
      </c>
      <c r="K698" s="847">
        <v>1720952</v>
      </c>
      <c r="L698" s="841">
        <v>12539415</v>
      </c>
      <c r="M698" s="847">
        <v>18237099</v>
      </c>
      <c r="N698" s="839">
        <f>Indicadores[[#This Row],[Ventas]]/Indicadores[[#This Row],[Activos totales]]</f>
        <v>1.4543819627949151</v>
      </c>
      <c r="O698" s="837">
        <f>IF(Indicadores[[#This Row],[Ventas]]=0,0,Indicadores[[#This Row],[EBITDA]]/Indicadores[[#This Row],[Ventas]])</f>
        <v>9.436544704834908E-2</v>
      </c>
      <c r="P698" s="837">
        <f>IF(Indicadores[[#This Row],[Ventas]]=0,0,Indicadores[[#This Row],[UAI]]/Indicadores[[#This Row],[Ventas]])</f>
        <v>6.2418699377570962E-2</v>
      </c>
      <c r="Q698" s="837">
        <f>IFERROR(Indicadores[[#This Row],[Ventas]]/Indicadores[[#This Row],[Activos totales]],0)</f>
        <v>1.4543819627949151</v>
      </c>
    </row>
    <row r="699" spans="1:17" hidden="1" x14ac:dyDescent="0.35">
      <c r="A699" s="13" t="str">
        <f>MID(Indicadores[[#This Row],[CIIU]],2,4)</f>
        <v>5210</v>
      </c>
      <c r="B699" s="13" t="str">
        <f>Indicadores[[#This Row],[CIIU]]&amp;Indicadores[[#This Row],[Año]]</f>
        <v>H52102017</v>
      </c>
      <c r="C699" s="14" t="s">
        <v>2979</v>
      </c>
      <c r="D699" s="14" t="s">
        <v>3022</v>
      </c>
      <c r="E699" s="848">
        <v>2017</v>
      </c>
      <c r="F699" s="849" t="s">
        <v>3023</v>
      </c>
      <c r="G699" s="693" t="s">
        <v>3024</v>
      </c>
      <c r="H699" s="848" t="s">
        <v>3025</v>
      </c>
      <c r="I699" s="693" t="s">
        <v>3024</v>
      </c>
      <c r="J699" s="847">
        <v>91285127</v>
      </c>
      <c r="K699" s="847">
        <v>129035435</v>
      </c>
      <c r="L699" s="841">
        <v>955110492</v>
      </c>
      <c r="M699" s="847">
        <v>636161398</v>
      </c>
      <c r="N699" s="839">
        <f>Indicadores[[#This Row],[Ventas]]/Indicadores[[#This Row],[Activos totales]]</f>
        <v>0.66606052737194721</v>
      </c>
      <c r="O699" s="837">
        <f>IF(Indicadores[[#This Row],[Ventas]]=0,0,Indicadores[[#This Row],[EBITDA]]/Indicadores[[#This Row],[Ventas]])</f>
        <v>0.20283443070527207</v>
      </c>
      <c r="P699" s="837">
        <f>IF(Indicadores[[#This Row],[Ventas]]=0,0,Indicadores[[#This Row],[UAI]]/Indicadores[[#This Row],[Ventas]])</f>
        <v>0.14349365945023906</v>
      </c>
      <c r="Q699" s="837">
        <f>IFERROR(Indicadores[[#This Row],[Ventas]]/Indicadores[[#This Row],[Activos totales]],0)</f>
        <v>0.66606052737194721</v>
      </c>
    </row>
    <row r="700" spans="1:17" hidden="1" x14ac:dyDescent="0.35">
      <c r="A700" s="13" t="str">
        <f>MID(Indicadores[[#This Row],[CIIU]],2,4)</f>
        <v>5221</v>
      </c>
      <c r="B700" s="13" t="str">
        <f>Indicadores[[#This Row],[CIIU]]&amp;Indicadores[[#This Row],[Año]]</f>
        <v>H52212017</v>
      </c>
      <c r="C700" s="14" t="s">
        <v>2979</v>
      </c>
      <c r="D700" s="14" t="s">
        <v>3022</v>
      </c>
      <c r="E700" s="848">
        <v>2017</v>
      </c>
      <c r="F700" s="849" t="s">
        <v>3026</v>
      </c>
      <c r="G700" s="693" t="s">
        <v>3027</v>
      </c>
      <c r="H700" s="848" t="s">
        <v>3028</v>
      </c>
      <c r="I700" s="693" t="s">
        <v>3027</v>
      </c>
      <c r="J700" s="847">
        <v>39547876</v>
      </c>
      <c r="K700" s="847">
        <v>63283254</v>
      </c>
      <c r="L700" s="841">
        <v>510422279</v>
      </c>
      <c r="M700" s="847">
        <v>208224430</v>
      </c>
      <c r="N700" s="839">
        <f>Indicadores[[#This Row],[Ventas]]/Indicadores[[#This Row],[Activos totales]]</f>
        <v>0.40794541807216061</v>
      </c>
      <c r="O700" s="837">
        <f>IF(Indicadores[[#This Row],[Ventas]]=0,0,Indicadores[[#This Row],[EBITDA]]/Indicadores[[#This Row],[Ventas]])</f>
        <v>0.30391848833491825</v>
      </c>
      <c r="P700" s="837">
        <f>IF(Indicadores[[#This Row],[Ventas]]=0,0,Indicadores[[#This Row],[UAI]]/Indicadores[[#This Row],[Ventas]])</f>
        <v>0.1899290875715208</v>
      </c>
      <c r="Q700" s="837">
        <f>IFERROR(Indicadores[[#This Row],[Ventas]]/Indicadores[[#This Row],[Activos totales]],0)</f>
        <v>0.40794541807216061</v>
      </c>
    </row>
    <row r="701" spans="1:17" hidden="1" x14ac:dyDescent="0.35">
      <c r="A701" s="13" t="str">
        <f>MID(Indicadores[[#This Row],[CIIU]],2,4)</f>
        <v>5222</v>
      </c>
      <c r="B701" s="13" t="str">
        <f>Indicadores[[#This Row],[CIIU]]&amp;Indicadores[[#This Row],[Año]]</f>
        <v>H52222017</v>
      </c>
      <c r="C701" s="14" t="s">
        <v>2979</v>
      </c>
      <c r="D701" s="14" t="s">
        <v>3022</v>
      </c>
      <c r="E701" s="848">
        <v>2017</v>
      </c>
      <c r="F701" s="849" t="s">
        <v>3029</v>
      </c>
      <c r="G701" s="693" t="s">
        <v>3030</v>
      </c>
      <c r="H701" s="848" t="s">
        <v>3031</v>
      </c>
      <c r="I701" s="693" t="s">
        <v>3030</v>
      </c>
      <c r="J701" s="847">
        <v>-1380432</v>
      </c>
      <c r="K701" s="847">
        <v>-666719</v>
      </c>
      <c r="L701" s="841">
        <v>131546633</v>
      </c>
      <c r="M701" s="847">
        <v>24662444</v>
      </c>
      <c r="N701" s="839">
        <f>Indicadores[[#This Row],[Ventas]]/Indicadores[[#This Row],[Activos totales]]</f>
        <v>0.18748061761489554</v>
      </c>
      <c r="O701" s="837">
        <f>IF(Indicadores[[#This Row],[Ventas]]=0,0,Indicadores[[#This Row],[EBITDA]]/Indicadores[[#This Row],[Ventas]])</f>
        <v>-2.7033776538935069E-2</v>
      </c>
      <c r="P701" s="837">
        <f>IF(Indicadores[[#This Row],[Ventas]]=0,0,Indicadores[[#This Row],[UAI]]/Indicadores[[#This Row],[Ventas]])</f>
        <v>-5.5973041439039861E-2</v>
      </c>
      <c r="Q701" s="837">
        <f>IFERROR(Indicadores[[#This Row],[Ventas]]/Indicadores[[#This Row],[Activos totales]],0)</f>
        <v>0.18748061761489554</v>
      </c>
    </row>
    <row r="702" spans="1:17" hidden="1" x14ac:dyDescent="0.35">
      <c r="A702" s="13" t="str">
        <f>MID(Indicadores[[#This Row],[CIIU]],2,4)</f>
        <v>5223</v>
      </c>
      <c r="B702" s="13" t="str">
        <f>Indicadores[[#This Row],[CIIU]]&amp;Indicadores[[#This Row],[Año]]</f>
        <v>H52232017</v>
      </c>
      <c r="C702" s="14" t="s">
        <v>2979</v>
      </c>
      <c r="D702" s="14" t="s">
        <v>3022</v>
      </c>
      <c r="E702" s="848">
        <v>2017</v>
      </c>
      <c r="F702" s="849" t="s">
        <v>3032</v>
      </c>
      <c r="G702" s="693" t="s">
        <v>3033</v>
      </c>
      <c r="H702" s="848" t="s">
        <v>3034</v>
      </c>
      <c r="I702" s="693" t="s">
        <v>3033</v>
      </c>
      <c r="J702" s="847">
        <v>5364961</v>
      </c>
      <c r="K702" s="847">
        <v>19693115</v>
      </c>
      <c r="L702" s="841">
        <v>134565139</v>
      </c>
      <c r="M702" s="847">
        <v>183862714</v>
      </c>
      <c r="N702" s="839">
        <f>Indicadores[[#This Row],[Ventas]]/Indicadores[[#This Row],[Activos totales]]</f>
        <v>1.3663472974229975</v>
      </c>
      <c r="O702" s="837">
        <f>IF(Indicadores[[#This Row],[Ventas]]=0,0,Indicadores[[#This Row],[EBITDA]]/Indicadores[[#This Row],[Ventas]])</f>
        <v>0.10710771407409987</v>
      </c>
      <c r="P702" s="837">
        <f>IF(Indicadores[[#This Row],[Ventas]]=0,0,Indicadores[[#This Row],[UAI]]/Indicadores[[#This Row],[Ventas]])</f>
        <v>2.9179167887187829E-2</v>
      </c>
      <c r="Q702" s="837">
        <f>IFERROR(Indicadores[[#This Row],[Ventas]]/Indicadores[[#This Row],[Activos totales]],0)</f>
        <v>1.3663472974229975</v>
      </c>
    </row>
    <row r="703" spans="1:17" hidden="1" x14ac:dyDescent="0.35">
      <c r="A703" s="13" t="str">
        <f>MID(Indicadores[[#This Row],[CIIU]],2,4)</f>
        <v>5224</v>
      </c>
      <c r="B703" s="13" t="str">
        <f>Indicadores[[#This Row],[CIIU]]&amp;Indicadores[[#This Row],[Año]]</f>
        <v>H52242017</v>
      </c>
      <c r="C703" s="14" t="s">
        <v>2979</v>
      </c>
      <c r="D703" s="14" t="s">
        <v>3022</v>
      </c>
      <c r="E703" s="848">
        <v>2017</v>
      </c>
      <c r="F703" s="849" t="s">
        <v>3035</v>
      </c>
      <c r="G703" s="693" t="s">
        <v>3036</v>
      </c>
      <c r="H703" s="848" t="s">
        <v>3037</v>
      </c>
      <c r="I703" s="693" t="s">
        <v>3036</v>
      </c>
      <c r="J703" s="847">
        <v>24142536</v>
      </c>
      <c r="K703" s="847">
        <v>37596592</v>
      </c>
      <c r="L703" s="841">
        <v>635190945</v>
      </c>
      <c r="M703" s="847">
        <v>240698414</v>
      </c>
      <c r="N703" s="839">
        <f>Indicadores[[#This Row],[Ventas]]/Indicadores[[#This Row],[Activos totales]]</f>
        <v>0.3789386733149982</v>
      </c>
      <c r="O703" s="837">
        <f>IF(Indicadores[[#This Row],[Ventas]]=0,0,Indicadores[[#This Row],[EBITDA]]/Indicadores[[#This Row],[Ventas]])</f>
        <v>0.15619792160325577</v>
      </c>
      <c r="P703" s="837">
        <f>IF(Indicadores[[#This Row],[Ventas]]=0,0,Indicadores[[#This Row],[UAI]]/Indicadores[[#This Row],[Ventas]])</f>
        <v>0.100302015284571</v>
      </c>
      <c r="Q703" s="837">
        <f>IFERROR(Indicadores[[#This Row],[Ventas]]/Indicadores[[#This Row],[Activos totales]],0)</f>
        <v>0.3789386733149982</v>
      </c>
    </row>
    <row r="704" spans="1:17" hidden="1" x14ac:dyDescent="0.35">
      <c r="A704" s="13" t="str">
        <f>MID(Indicadores[[#This Row],[CIIU]],2,4)</f>
        <v>5229</v>
      </c>
      <c r="B704" s="13" t="str">
        <f>Indicadores[[#This Row],[CIIU]]&amp;Indicadores[[#This Row],[Año]]</f>
        <v>H52292017</v>
      </c>
      <c r="C704" s="14" t="s">
        <v>2979</v>
      </c>
      <c r="D704" s="14" t="s">
        <v>3022</v>
      </c>
      <c r="E704" s="848">
        <v>2017</v>
      </c>
      <c r="F704" s="849" t="s">
        <v>3038</v>
      </c>
      <c r="G704" s="693" t="s">
        <v>3039</v>
      </c>
      <c r="H704" s="848" t="s">
        <v>3040</v>
      </c>
      <c r="I704" s="693" t="s">
        <v>3039</v>
      </c>
      <c r="J704" s="847">
        <v>163778992</v>
      </c>
      <c r="K704" s="847">
        <v>239245832</v>
      </c>
      <c r="L704" s="841">
        <v>1504249826</v>
      </c>
      <c r="M704" s="847">
        <v>2052057353</v>
      </c>
      <c r="N704" s="839">
        <f>Indicadores[[#This Row],[Ventas]]/Indicadores[[#This Row],[Activos totales]]</f>
        <v>1.3641732360752157</v>
      </c>
      <c r="O704" s="837">
        <f>IF(Indicadores[[#This Row],[Ventas]]=0,0,Indicadores[[#This Row],[EBITDA]]/Indicadores[[#This Row],[Ventas]])</f>
        <v>0.1165882774427504</v>
      </c>
      <c r="P704" s="837">
        <f>IF(Indicadores[[#This Row],[Ventas]]=0,0,Indicadores[[#This Row],[UAI]]/Indicadores[[#This Row],[Ventas]])</f>
        <v>7.9812092854307279E-2</v>
      </c>
      <c r="Q704" s="837">
        <f>IFERROR(Indicadores[[#This Row],[Ventas]]/Indicadores[[#This Row],[Activos totales]],0)</f>
        <v>1.3641732360752157</v>
      </c>
    </row>
    <row r="705" spans="1:17" hidden="1" x14ac:dyDescent="0.35">
      <c r="A705" s="13" t="str">
        <f>MID(Indicadores[[#This Row],[CIIU]],2,4)</f>
        <v>5310</v>
      </c>
      <c r="B705" s="13" t="str">
        <f>Indicadores[[#This Row],[CIIU]]&amp;Indicadores[[#This Row],[Año]]</f>
        <v>H53102017</v>
      </c>
      <c r="C705" s="14" t="s">
        <v>2979</v>
      </c>
      <c r="D705" s="14" t="s">
        <v>3041</v>
      </c>
      <c r="E705" s="848">
        <v>2017</v>
      </c>
      <c r="F705" s="849" t="s">
        <v>3042</v>
      </c>
      <c r="G705" s="693" t="s">
        <v>3043</v>
      </c>
      <c r="H705" s="848" t="s">
        <v>3044</v>
      </c>
      <c r="I705" s="693" t="s">
        <v>3043</v>
      </c>
      <c r="J705" s="847">
        <v>6112051</v>
      </c>
      <c r="K705" s="847">
        <v>11307247</v>
      </c>
      <c r="L705" s="841">
        <v>108725838</v>
      </c>
      <c r="M705" s="847">
        <v>75840369</v>
      </c>
      <c r="N705" s="839">
        <f>Indicadores[[#This Row],[Ventas]]/Indicadores[[#This Row],[Activos totales]]</f>
        <v>0.69753768188937759</v>
      </c>
      <c r="O705" s="837">
        <f>IF(Indicadores[[#This Row],[Ventas]]=0,0,Indicadores[[#This Row],[EBITDA]]/Indicadores[[#This Row],[Ventas]])</f>
        <v>0.14909272131837861</v>
      </c>
      <c r="P705" s="837">
        <f>IF(Indicadores[[#This Row],[Ventas]]=0,0,Indicadores[[#This Row],[UAI]]/Indicadores[[#This Row],[Ventas]])</f>
        <v>8.0590997651923346E-2</v>
      </c>
      <c r="Q705" s="837">
        <f>IFERROR(Indicadores[[#This Row],[Ventas]]/Indicadores[[#This Row],[Activos totales]],0)</f>
        <v>0.69753768188937759</v>
      </c>
    </row>
    <row r="706" spans="1:17" hidden="1" x14ac:dyDescent="0.35">
      <c r="A706" s="13" t="str">
        <f>MID(Indicadores[[#This Row],[CIIU]],2,4)</f>
        <v>5320</v>
      </c>
      <c r="B706" s="13" t="str">
        <f>Indicadores[[#This Row],[CIIU]]&amp;Indicadores[[#This Row],[Año]]</f>
        <v>H53202017</v>
      </c>
      <c r="C706" s="14" t="s">
        <v>2979</v>
      </c>
      <c r="D706" s="14" t="s">
        <v>3041</v>
      </c>
      <c r="E706" s="848">
        <v>2017</v>
      </c>
      <c r="F706" s="849" t="s">
        <v>3045</v>
      </c>
      <c r="G706" s="693" t="s">
        <v>3046</v>
      </c>
      <c r="H706" s="848" t="s">
        <v>3047</v>
      </c>
      <c r="I706" s="693" t="s">
        <v>3046</v>
      </c>
      <c r="J706" s="847">
        <v>5950437</v>
      </c>
      <c r="K706" s="847">
        <v>10456079</v>
      </c>
      <c r="L706" s="841">
        <v>126313507</v>
      </c>
      <c r="M706" s="847">
        <v>161840624</v>
      </c>
      <c r="N706" s="839">
        <f>Indicadores[[#This Row],[Ventas]]/Indicadores[[#This Row],[Activos totales]]</f>
        <v>1.2812614251934276</v>
      </c>
      <c r="O706" s="837">
        <f>IF(Indicadores[[#This Row],[Ventas]]=0,0,Indicadores[[#This Row],[EBITDA]]/Indicadores[[#This Row],[Ventas]])</f>
        <v>6.4607258311114774E-2</v>
      </c>
      <c r="P706" s="837">
        <f>IF(Indicadores[[#This Row],[Ventas]]=0,0,Indicadores[[#This Row],[UAI]]/Indicadores[[#This Row],[Ventas]])</f>
        <v>3.676726431801202E-2</v>
      </c>
      <c r="Q706" s="837">
        <f>IFERROR(Indicadores[[#This Row],[Ventas]]/Indicadores[[#This Row],[Activos totales]],0)</f>
        <v>1.2812614251934276</v>
      </c>
    </row>
    <row r="707" spans="1:17" hidden="1" x14ac:dyDescent="0.35">
      <c r="A707" s="13" t="str">
        <f>MID(Indicadores[[#This Row],[CIIU]],2,4)</f>
        <v>5511</v>
      </c>
      <c r="B707" s="13" t="str">
        <f>Indicadores[[#This Row],[CIIU]]&amp;Indicadores[[#This Row],[Año]]</f>
        <v>I55112017</v>
      </c>
      <c r="C707" s="14" t="s">
        <v>3048</v>
      </c>
      <c r="D707" s="14" t="s">
        <v>3049</v>
      </c>
      <c r="E707" s="848">
        <v>2017</v>
      </c>
      <c r="F707" s="849" t="s">
        <v>3050</v>
      </c>
      <c r="G707" s="693" t="s">
        <v>3051</v>
      </c>
      <c r="H707" s="848" t="s">
        <v>3052</v>
      </c>
      <c r="I707" s="693" t="s">
        <v>3053</v>
      </c>
      <c r="J707" s="847">
        <v>139273162.26999998</v>
      </c>
      <c r="K707" s="847">
        <v>299726444.92000002</v>
      </c>
      <c r="L707" s="841">
        <v>9259706343.8899994</v>
      </c>
      <c r="M707" s="847">
        <v>2131231795.8699999</v>
      </c>
      <c r="N707" s="839">
        <f>Indicadores[[#This Row],[Ventas]]/Indicadores[[#This Row],[Activos totales]]</f>
        <v>0.23016192055337578</v>
      </c>
      <c r="O707" s="837">
        <f>IF(Indicadores[[#This Row],[Ventas]]=0,0,Indicadores[[#This Row],[EBITDA]]/Indicadores[[#This Row],[Ventas]])</f>
        <v>0.14063531029371082</v>
      </c>
      <c r="P707" s="837">
        <f>IF(Indicadores[[#This Row],[Ventas]]=0,0,Indicadores[[#This Row],[UAI]]/Indicadores[[#This Row],[Ventas]])</f>
        <v>6.5348669506475082E-2</v>
      </c>
      <c r="Q707" s="837">
        <f>IFERROR(Indicadores[[#This Row],[Ventas]]/Indicadores[[#This Row],[Activos totales]],0)</f>
        <v>0.23016192055337578</v>
      </c>
    </row>
    <row r="708" spans="1:17" hidden="1" x14ac:dyDescent="0.35">
      <c r="A708" s="13" t="str">
        <f>MID(Indicadores[[#This Row],[CIIU]],2,4)</f>
        <v>5512</v>
      </c>
      <c r="B708" s="13" t="str">
        <f>Indicadores[[#This Row],[CIIU]]&amp;Indicadores[[#This Row],[Año]]</f>
        <v>I55122017</v>
      </c>
      <c r="C708" s="14" t="s">
        <v>3048</v>
      </c>
      <c r="D708" s="14" t="s">
        <v>3049</v>
      </c>
      <c r="E708" s="848">
        <v>2017</v>
      </c>
      <c r="F708" s="849" t="s">
        <v>3054</v>
      </c>
      <c r="G708" s="693" t="s">
        <v>3055</v>
      </c>
      <c r="H708" s="848" t="s">
        <v>3056</v>
      </c>
      <c r="I708" s="693" t="s">
        <v>3055</v>
      </c>
      <c r="J708" s="847">
        <v>-556481</v>
      </c>
      <c r="K708" s="847">
        <v>-1957826</v>
      </c>
      <c r="L708" s="841">
        <v>23253227</v>
      </c>
      <c r="M708" s="847">
        <v>1533985</v>
      </c>
      <c r="N708" s="839">
        <f>Indicadores[[#This Row],[Ventas]]/Indicadores[[#This Row],[Activos totales]]</f>
        <v>6.5968693291473049E-2</v>
      </c>
      <c r="O708" s="837">
        <f>IF(Indicadores[[#This Row],[Ventas]]=0,0,Indicadores[[#This Row],[EBITDA]]/Indicadores[[#This Row],[Ventas]])</f>
        <v>-1.2763006157165813</v>
      </c>
      <c r="P708" s="837">
        <f>IF(Indicadores[[#This Row],[Ventas]]=0,0,Indicadores[[#This Row],[UAI]]/Indicadores[[#This Row],[Ventas]])</f>
        <v>-0.36276821481305227</v>
      </c>
      <c r="Q708" s="837">
        <f>IFERROR(Indicadores[[#This Row],[Ventas]]/Indicadores[[#This Row],[Activos totales]],0)</f>
        <v>6.5968693291473049E-2</v>
      </c>
    </row>
    <row r="709" spans="1:17" hidden="1" x14ac:dyDescent="0.35">
      <c r="A709" s="13" t="str">
        <f>MID(Indicadores[[#This Row],[CIIU]],2,4)</f>
        <v>5513</v>
      </c>
      <c r="B709" s="13" t="str">
        <f>Indicadores[[#This Row],[CIIU]]&amp;Indicadores[[#This Row],[Año]]</f>
        <v>I55132017</v>
      </c>
      <c r="C709" s="14" t="s">
        <v>3048</v>
      </c>
      <c r="D709" s="14" t="s">
        <v>3049</v>
      </c>
      <c r="E709" s="848">
        <v>2017</v>
      </c>
      <c r="F709" s="849" t="s">
        <v>3057</v>
      </c>
      <c r="G709" s="693" t="s">
        <v>3058</v>
      </c>
      <c r="H709" s="848" t="s">
        <v>3059</v>
      </c>
      <c r="I709" s="693" t="s">
        <v>3060</v>
      </c>
      <c r="J709" s="847">
        <v>1113879</v>
      </c>
      <c r="K709" s="847">
        <v>1806831</v>
      </c>
      <c r="L709" s="841">
        <v>36174990</v>
      </c>
      <c r="M709" s="847">
        <v>11556219</v>
      </c>
      <c r="N709" s="839">
        <f>Indicadores[[#This Row],[Ventas]]/Indicadores[[#This Row],[Activos totales]]</f>
        <v>0.31945327420961278</v>
      </c>
      <c r="O709" s="837">
        <f>IF(Indicadores[[#This Row],[Ventas]]=0,0,Indicadores[[#This Row],[EBITDA]]/Indicadores[[#This Row],[Ventas]])</f>
        <v>0.15635139832500577</v>
      </c>
      <c r="P709" s="837">
        <f>IF(Indicadores[[#This Row],[Ventas]]=0,0,Indicadores[[#This Row],[UAI]]/Indicadores[[#This Row],[Ventas]])</f>
        <v>9.6387841040395647E-2</v>
      </c>
      <c r="Q709" s="837">
        <f>IFERROR(Indicadores[[#This Row],[Ventas]]/Indicadores[[#This Row],[Activos totales]],0)</f>
        <v>0.31945327420961278</v>
      </c>
    </row>
    <row r="710" spans="1:17" hidden="1" x14ac:dyDescent="0.35">
      <c r="A710" s="13" t="str">
        <f>MID(Indicadores[[#This Row],[CIIU]],2,4)</f>
        <v>5519</v>
      </c>
      <c r="B710" s="13" t="str">
        <f>Indicadores[[#This Row],[CIIU]]&amp;Indicadores[[#This Row],[Año]]</f>
        <v>I55192017</v>
      </c>
      <c r="C710" s="14" t="s">
        <v>3048</v>
      </c>
      <c r="D710" s="14" t="s">
        <v>3049</v>
      </c>
      <c r="E710" s="848">
        <v>2017</v>
      </c>
      <c r="F710" s="849" t="s">
        <v>3061</v>
      </c>
      <c r="G710" s="693" t="s">
        <v>3062</v>
      </c>
      <c r="H710" s="848" t="s">
        <v>3063</v>
      </c>
      <c r="I710" s="693" t="s">
        <v>3062</v>
      </c>
      <c r="J710" s="847">
        <v>535473</v>
      </c>
      <c r="K710" s="847">
        <v>251720</v>
      </c>
      <c r="L710" s="841">
        <v>8699892</v>
      </c>
      <c r="M710" s="847">
        <v>1224795</v>
      </c>
      <c r="N710" s="839">
        <f>Indicadores[[#This Row],[Ventas]]/Indicadores[[#This Row],[Activos totales]]</f>
        <v>0.14078278213108852</v>
      </c>
      <c r="O710" s="837">
        <f>IF(Indicadores[[#This Row],[Ventas]]=0,0,Indicadores[[#This Row],[EBITDA]]/Indicadores[[#This Row],[Ventas]])</f>
        <v>0.20552010744655227</v>
      </c>
      <c r="P710" s="837">
        <f>IF(Indicadores[[#This Row],[Ventas]]=0,0,Indicadores[[#This Row],[UAI]]/Indicadores[[#This Row],[Ventas]])</f>
        <v>0.43719397940063437</v>
      </c>
      <c r="Q710" s="837">
        <f>IFERROR(Indicadores[[#This Row],[Ventas]]/Indicadores[[#This Row],[Activos totales]],0)</f>
        <v>0.14078278213108852</v>
      </c>
    </row>
    <row r="711" spans="1:17" hidden="1" x14ac:dyDescent="0.35">
      <c r="A711" s="13" t="str">
        <f>MID(Indicadores[[#This Row],[CIIU]],2,4)</f>
        <v>5530</v>
      </c>
      <c r="B711" s="13" t="str">
        <f>Indicadores[[#This Row],[CIIU]]&amp;Indicadores[[#This Row],[Año]]</f>
        <v>I55302017</v>
      </c>
      <c r="C711" s="14" t="s">
        <v>3048</v>
      </c>
      <c r="D711" s="14" t="s">
        <v>3049</v>
      </c>
      <c r="E711" s="848">
        <v>2017</v>
      </c>
      <c r="F711" s="849" t="s">
        <v>3064</v>
      </c>
      <c r="G711" s="693" t="s">
        <v>3065</v>
      </c>
      <c r="H711" s="848" t="s">
        <v>3066</v>
      </c>
      <c r="I711" s="693" t="s">
        <v>3067</v>
      </c>
      <c r="J711" s="847">
        <v>128424</v>
      </c>
      <c r="K711" s="847">
        <v>616563</v>
      </c>
      <c r="L711" s="841">
        <v>73859819</v>
      </c>
      <c r="M711" s="847">
        <v>6493276</v>
      </c>
      <c r="N711" s="839">
        <f>Indicadores[[#This Row],[Ventas]]/Indicadores[[#This Row],[Activos totales]]</f>
        <v>8.7913510863058028E-2</v>
      </c>
      <c r="O711" s="837">
        <f>IF(Indicadores[[#This Row],[Ventas]]=0,0,Indicadores[[#This Row],[EBITDA]]/Indicadores[[#This Row],[Ventas]])</f>
        <v>9.4954072489757096E-2</v>
      </c>
      <c r="P711" s="837">
        <f>IF(Indicadores[[#This Row],[Ventas]]=0,0,Indicadores[[#This Row],[UAI]]/Indicadores[[#This Row],[Ventas]])</f>
        <v>1.9777998039818421E-2</v>
      </c>
      <c r="Q711" s="837">
        <f>IFERROR(Indicadores[[#This Row],[Ventas]]/Indicadores[[#This Row],[Activos totales]],0)</f>
        <v>8.7913510863058028E-2</v>
      </c>
    </row>
    <row r="712" spans="1:17" hidden="1" x14ac:dyDescent="0.35">
      <c r="A712" s="13" t="str">
        <f>MID(Indicadores[[#This Row],[CIIU]],2,4)</f>
        <v>5590</v>
      </c>
      <c r="B712" s="13" t="str">
        <f>Indicadores[[#This Row],[CIIU]]&amp;Indicadores[[#This Row],[Año]]</f>
        <v>I55902017</v>
      </c>
      <c r="C712" s="14" t="s">
        <v>3048</v>
      </c>
      <c r="D712" s="14" t="s">
        <v>3049</v>
      </c>
      <c r="E712" s="848">
        <v>2017</v>
      </c>
      <c r="F712" s="849" t="s">
        <v>3068</v>
      </c>
      <c r="G712" s="693" t="s">
        <v>3069</v>
      </c>
      <c r="H712" s="848" t="s">
        <v>3070</v>
      </c>
      <c r="I712" s="693" t="s">
        <v>3069</v>
      </c>
      <c r="J712" s="847">
        <v>867627</v>
      </c>
      <c r="K712" s="847">
        <v>3439621</v>
      </c>
      <c r="L712" s="841">
        <v>67818102</v>
      </c>
      <c r="M712" s="847">
        <v>10568544</v>
      </c>
      <c r="N712" s="839">
        <f>Indicadores[[#This Row],[Ventas]]/Indicadores[[#This Row],[Activos totales]]</f>
        <v>0.15583662308921592</v>
      </c>
      <c r="O712" s="837">
        <f>IF(Indicadores[[#This Row],[Ventas]]=0,0,Indicadores[[#This Row],[EBITDA]]/Indicadores[[#This Row],[Ventas]])</f>
        <v>0.32545836020553065</v>
      </c>
      <c r="P712" s="837">
        <f>IF(Indicadores[[#This Row],[Ventas]]=0,0,Indicadores[[#This Row],[UAI]]/Indicadores[[#This Row],[Ventas]])</f>
        <v>8.2095225226861898E-2</v>
      </c>
      <c r="Q712" s="837">
        <f>IFERROR(Indicadores[[#This Row],[Ventas]]/Indicadores[[#This Row],[Activos totales]],0)</f>
        <v>0.15583662308921592</v>
      </c>
    </row>
    <row r="713" spans="1:17" hidden="1" x14ac:dyDescent="0.35">
      <c r="A713" s="13" t="str">
        <f>MID(Indicadores[[#This Row],[CIIU]],2,4)</f>
        <v>5611</v>
      </c>
      <c r="B713" s="13" t="str">
        <f>Indicadores[[#This Row],[CIIU]]&amp;Indicadores[[#This Row],[Año]]</f>
        <v>I56112017</v>
      </c>
      <c r="C713" s="14" t="s">
        <v>3048</v>
      </c>
      <c r="D713" s="14" t="s">
        <v>3071</v>
      </c>
      <c r="E713" s="848">
        <v>2017</v>
      </c>
      <c r="F713" s="849" t="s">
        <v>3072</v>
      </c>
      <c r="G713" s="693" t="s">
        <v>3073</v>
      </c>
      <c r="H713" s="848" t="s">
        <v>3074</v>
      </c>
      <c r="I713" s="693" t="s">
        <v>3073</v>
      </c>
      <c r="J713" s="847">
        <v>22832632</v>
      </c>
      <c r="K713" s="847">
        <v>184346388</v>
      </c>
      <c r="L713" s="841">
        <v>1823208277</v>
      </c>
      <c r="M713" s="847">
        <v>2650749249</v>
      </c>
      <c r="N713" s="839">
        <f>Indicadores[[#This Row],[Ventas]]/Indicadores[[#This Row],[Activos totales]]</f>
        <v>1.4538927244021063</v>
      </c>
      <c r="O713" s="837">
        <f>IF(Indicadores[[#This Row],[Ventas]]=0,0,Indicadores[[#This Row],[EBITDA]]/Indicadores[[#This Row],[Ventas]])</f>
        <v>6.9545011875244339E-2</v>
      </c>
      <c r="P713" s="837">
        <f>IF(Indicadores[[#This Row],[Ventas]]=0,0,Indicadores[[#This Row],[UAI]]/Indicadores[[#This Row],[Ventas]])</f>
        <v>8.6136521621626994E-3</v>
      </c>
      <c r="Q713" s="837">
        <f>IFERROR(Indicadores[[#This Row],[Ventas]]/Indicadores[[#This Row],[Activos totales]],0)</f>
        <v>1.4538927244021063</v>
      </c>
    </row>
    <row r="714" spans="1:17" hidden="1" x14ac:dyDescent="0.35">
      <c r="A714" s="13" t="str">
        <f>MID(Indicadores[[#This Row],[CIIU]],2,4)</f>
        <v>5612</v>
      </c>
      <c r="B714" s="13" t="str">
        <f>Indicadores[[#This Row],[CIIU]]&amp;Indicadores[[#This Row],[Año]]</f>
        <v>I56122017</v>
      </c>
      <c r="C714" s="14" t="s">
        <v>3048</v>
      </c>
      <c r="D714" s="14" t="s">
        <v>3071</v>
      </c>
      <c r="E714" s="848">
        <v>2017</v>
      </c>
      <c r="F714" s="849" t="s">
        <v>3075</v>
      </c>
      <c r="G714" s="693" t="s">
        <v>3076</v>
      </c>
      <c r="H714" s="848" t="s">
        <v>3077</v>
      </c>
      <c r="I714" s="693" t="s">
        <v>3076</v>
      </c>
      <c r="J714" s="847">
        <v>6379859</v>
      </c>
      <c r="K714" s="847">
        <v>30974613</v>
      </c>
      <c r="L714" s="841">
        <v>323248767</v>
      </c>
      <c r="M714" s="847">
        <v>696958973</v>
      </c>
      <c r="N714" s="839">
        <f>Indicadores[[#This Row],[Ventas]]/Indicadores[[#This Row],[Activos totales]]</f>
        <v>2.1561071352825918</v>
      </c>
      <c r="O714" s="837">
        <f>IF(Indicadores[[#This Row],[Ventas]]=0,0,Indicadores[[#This Row],[EBITDA]]/Indicadores[[#This Row],[Ventas]])</f>
        <v>4.4442519861208528E-2</v>
      </c>
      <c r="P714" s="837">
        <f>IF(Indicadores[[#This Row],[Ventas]]=0,0,Indicadores[[#This Row],[UAI]]/Indicadores[[#This Row],[Ventas]])</f>
        <v>9.1538515854648443E-3</v>
      </c>
      <c r="Q714" s="837">
        <f>IFERROR(Indicadores[[#This Row],[Ventas]]/Indicadores[[#This Row],[Activos totales]],0)</f>
        <v>2.1561071352825918</v>
      </c>
    </row>
    <row r="715" spans="1:17" hidden="1" x14ac:dyDescent="0.35">
      <c r="A715" s="13" t="str">
        <f>MID(Indicadores[[#This Row],[CIIU]],2,4)</f>
        <v>5613</v>
      </c>
      <c r="B715" s="13" t="str">
        <f>Indicadores[[#This Row],[CIIU]]&amp;Indicadores[[#This Row],[Año]]</f>
        <v>I56132017</v>
      </c>
      <c r="C715" s="14" t="s">
        <v>3048</v>
      </c>
      <c r="D715" s="14" t="s">
        <v>3071</v>
      </c>
      <c r="E715" s="848">
        <v>2017</v>
      </c>
      <c r="F715" s="849" t="s">
        <v>3078</v>
      </c>
      <c r="G715" s="693" t="s">
        <v>3079</v>
      </c>
      <c r="H715" s="848" t="s">
        <v>3080</v>
      </c>
      <c r="I715" s="693" t="s">
        <v>3079</v>
      </c>
      <c r="J715" s="847">
        <v>-2111524</v>
      </c>
      <c r="K715" s="847">
        <v>3444518</v>
      </c>
      <c r="L715" s="841">
        <v>72276962</v>
      </c>
      <c r="M715" s="847">
        <v>99793934</v>
      </c>
      <c r="N715" s="839">
        <f>Indicadores[[#This Row],[Ventas]]/Indicadores[[#This Row],[Activos totales]]</f>
        <v>1.3807156698146776</v>
      </c>
      <c r="O715" s="837">
        <f>IF(Indicadores[[#This Row],[Ventas]]=0,0,Indicadores[[#This Row],[EBITDA]]/Indicadores[[#This Row],[Ventas]])</f>
        <v>3.4516306371888295E-2</v>
      </c>
      <c r="P715" s="837">
        <f>IF(Indicadores[[#This Row],[Ventas]]=0,0,Indicadores[[#This Row],[UAI]]/Indicadores[[#This Row],[Ventas]])</f>
        <v>-2.1158841177661158E-2</v>
      </c>
      <c r="Q715" s="837">
        <f>IFERROR(Indicadores[[#This Row],[Ventas]]/Indicadores[[#This Row],[Activos totales]],0)</f>
        <v>1.3807156698146776</v>
      </c>
    </row>
    <row r="716" spans="1:17" hidden="1" x14ac:dyDescent="0.35">
      <c r="A716" s="13" t="str">
        <f>MID(Indicadores[[#This Row],[CIIU]],2,4)</f>
        <v>5619</v>
      </c>
      <c r="B716" s="13" t="str">
        <f>Indicadores[[#This Row],[CIIU]]&amp;Indicadores[[#This Row],[Año]]</f>
        <v>I56192017</v>
      </c>
      <c r="C716" s="14" t="s">
        <v>3048</v>
      </c>
      <c r="D716" s="14" t="s">
        <v>3071</v>
      </c>
      <c r="E716" s="848">
        <v>2017</v>
      </c>
      <c r="F716" s="849" t="s">
        <v>3081</v>
      </c>
      <c r="G716" s="693" t="s">
        <v>3082</v>
      </c>
      <c r="H716" s="848" t="s">
        <v>3083</v>
      </c>
      <c r="I716" s="693" t="s">
        <v>3082</v>
      </c>
      <c r="J716" s="847">
        <v>28221260</v>
      </c>
      <c r="K716" s="847">
        <v>38218443</v>
      </c>
      <c r="L716" s="841">
        <v>153039138</v>
      </c>
      <c r="M716" s="847">
        <v>564492376</v>
      </c>
      <c r="N716" s="839">
        <f>Indicadores[[#This Row],[Ventas]]/Indicadores[[#This Row],[Activos totales]]</f>
        <v>3.6885491082679778</v>
      </c>
      <c r="O716" s="837">
        <f>IF(Indicadores[[#This Row],[Ventas]]=0,0,Indicadores[[#This Row],[EBITDA]]/Indicadores[[#This Row],[Ventas]])</f>
        <v>6.7704090657196056E-2</v>
      </c>
      <c r="P716" s="837">
        <f>IF(Indicadores[[#This Row],[Ventas]]=0,0,Indicadores[[#This Row],[UAI]]/Indicadores[[#This Row],[Ventas]])</f>
        <v>4.9994049875352081E-2</v>
      </c>
      <c r="Q716" s="837">
        <f>IFERROR(Indicadores[[#This Row],[Ventas]]/Indicadores[[#This Row],[Activos totales]],0)</f>
        <v>3.6885491082679778</v>
      </c>
    </row>
    <row r="717" spans="1:17" hidden="1" x14ac:dyDescent="0.35">
      <c r="A717" s="13" t="str">
        <f>MID(Indicadores[[#This Row],[CIIU]],2,4)</f>
        <v>5621</v>
      </c>
      <c r="B717" s="13" t="str">
        <f>Indicadores[[#This Row],[CIIU]]&amp;Indicadores[[#This Row],[Año]]</f>
        <v>I56212017</v>
      </c>
      <c r="C717" s="14" t="s">
        <v>3048</v>
      </c>
      <c r="D717" s="14" t="s">
        <v>3071</v>
      </c>
      <c r="E717" s="848">
        <v>2017</v>
      </c>
      <c r="F717" s="849" t="s">
        <v>3084</v>
      </c>
      <c r="G717" s="693" t="s">
        <v>3085</v>
      </c>
      <c r="H717" s="848" t="s">
        <v>3086</v>
      </c>
      <c r="I717" s="693" t="s">
        <v>3085</v>
      </c>
      <c r="J717" s="847">
        <v>7621858</v>
      </c>
      <c r="K717" s="847">
        <v>15246662</v>
      </c>
      <c r="L717" s="841">
        <v>94398639</v>
      </c>
      <c r="M717" s="847">
        <v>204816174</v>
      </c>
      <c r="N717" s="839">
        <f>Indicadores[[#This Row],[Ventas]]/Indicadores[[#This Row],[Activos totales]]</f>
        <v>2.1696941414589674</v>
      </c>
      <c r="O717" s="837">
        <f>IF(Indicadores[[#This Row],[Ventas]]=0,0,Indicadores[[#This Row],[EBITDA]]/Indicadores[[#This Row],[Ventas]])</f>
        <v>7.4440712870654444E-2</v>
      </c>
      <c r="P717" s="837">
        <f>IF(Indicadores[[#This Row],[Ventas]]=0,0,Indicadores[[#This Row],[UAI]]/Indicadores[[#This Row],[Ventas]])</f>
        <v>3.7213164620485489E-2</v>
      </c>
      <c r="Q717" s="837">
        <f>IFERROR(Indicadores[[#This Row],[Ventas]]/Indicadores[[#This Row],[Activos totales]],0)</f>
        <v>2.1696941414589674</v>
      </c>
    </row>
    <row r="718" spans="1:17" hidden="1" x14ac:dyDescent="0.35">
      <c r="A718" s="13" t="str">
        <f>MID(Indicadores[[#This Row],[CIIU]],2,4)</f>
        <v>5629</v>
      </c>
      <c r="B718" s="13" t="str">
        <f>Indicadores[[#This Row],[CIIU]]&amp;Indicadores[[#This Row],[Año]]</f>
        <v>I56292017</v>
      </c>
      <c r="C718" s="14" t="s">
        <v>3048</v>
      </c>
      <c r="D718" s="14" t="s">
        <v>3071</v>
      </c>
      <c r="E718" s="848">
        <v>2017</v>
      </c>
      <c r="F718" s="849" t="s">
        <v>3087</v>
      </c>
      <c r="G718" s="693" t="s">
        <v>3088</v>
      </c>
      <c r="H718" s="848" t="s">
        <v>3089</v>
      </c>
      <c r="I718" s="693" t="s">
        <v>3088</v>
      </c>
      <c r="J718" s="847">
        <v>-3004610</v>
      </c>
      <c r="K718" s="847">
        <v>13780197</v>
      </c>
      <c r="L718" s="841">
        <v>319217851</v>
      </c>
      <c r="M718" s="847">
        <v>419202163</v>
      </c>
      <c r="N718" s="839">
        <f>Indicadores[[#This Row],[Ventas]]/Indicadores[[#This Row],[Activos totales]]</f>
        <v>1.3132165437702918</v>
      </c>
      <c r="O718" s="837">
        <f>IF(Indicadores[[#This Row],[Ventas]]=0,0,Indicadores[[#This Row],[EBITDA]]/Indicadores[[#This Row],[Ventas]])</f>
        <v>3.2872437731195581E-2</v>
      </c>
      <c r="P718" s="837">
        <f>IF(Indicadores[[#This Row],[Ventas]]=0,0,Indicadores[[#This Row],[UAI]]/Indicadores[[#This Row],[Ventas]])</f>
        <v>-7.1674487042186373E-3</v>
      </c>
      <c r="Q718" s="837">
        <f>IFERROR(Indicadores[[#This Row],[Ventas]]/Indicadores[[#This Row],[Activos totales]],0)</f>
        <v>1.3132165437702918</v>
      </c>
    </row>
    <row r="719" spans="1:17" hidden="1" x14ac:dyDescent="0.35">
      <c r="A719" s="13" t="str">
        <f>MID(Indicadores[[#This Row],[CIIU]],2,4)</f>
        <v>5630</v>
      </c>
      <c r="B719" s="13" t="str">
        <f>Indicadores[[#This Row],[CIIU]]&amp;Indicadores[[#This Row],[Año]]</f>
        <v>I56302017</v>
      </c>
      <c r="C719" s="14" t="s">
        <v>3048</v>
      </c>
      <c r="D719" s="14" t="s">
        <v>3071</v>
      </c>
      <c r="E719" s="848">
        <v>2017</v>
      </c>
      <c r="F719" s="849" t="s">
        <v>3090</v>
      </c>
      <c r="G719" s="693" t="s">
        <v>3091</v>
      </c>
      <c r="H719" s="848" t="s">
        <v>3092</v>
      </c>
      <c r="I719" s="693" t="s">
        <v>3091</v>
      </c>
      <c r="J719" s="847">
        <v>2563750</v>
      </c>
      <c r="K719" s="847">
        <v>4055259</v>
      </c>
      <c r="L719" s="841">
        <v>29416276</v>
      </c>
      <c r="M719" s="847">
        <v>46780732</v>
      </c>
      <c r="N719" s="839">
        <f>Indicadores[[#This Row],[Ventas]]/Indicadores[[#This Row],[Activos totales]]</f>
        <v>1.5903009612773555</v>
      </c>
      <c r="O719" s="837">
        <f>IF(Indicadores[[#This Row],[Ventas]]=0,0,Indicadores[[#This Row],[EBITDA]]/Indicadores[[#This Row],[Ventas]])</f>
        <v>8.6686522989849746E-2</v>
      </c>
      <c r="P719" s="837">
        <f>IF(Indicadores[[#This Row],[Ventas]]=0,0,Indicadores[[#This Row],[UAI]]/Indicadores[[#This Row],[Ventas]])</f>
        <v>5.4803546041135055E-2</v>
      </c>
      <c r="Q719" s="837">
        <f>IFERROR(Indicadores[[#This Row],[Ventas]]/Indicadores[[#This Row],[Activos totales]],0)</f>
        <v>1.5903009612773555</v>
      </c>
    </row>
    <row r="720" spans="1:17" hidden="1" x14ac:dyDescent="0.35">
      <c r="A720" s="13" t="str">
        <f>MID(Indicadores[[#This Row],[CIIU]],2,4)</f>
        <v>5811</v>
      </c>
      <c r="B720" s="13" t="str">
        <f>Indicadores[[#This Row],[CIIU]]&amp;Indicadores[[#This Row],[Año]]</f>
        <v>J58112017</v>
      </c>
      <c r="C720" s="14" t="s">
        <v>3093</v>
      </c>
      <c r="D720" s="14" t="s">
        <v>3094</v>
      </c>
      <c r="E720" s="848">
        <v>2017</v>
      </c>
      <c r="F720" s="849" t="s">
        <v>3095</v>
      </c>
      <c r="G720" s="693" t="s">
        <v>3096</v>
      </c>
      <c r="H720" s="848" t="s">
        <v>3097</v>
      </c>
      <c r="I720" s="693" t="s">
        <v>3096</v>
      </c>
      <c r="J720" s="847">
        <v>42312910</v>
      </c>
      <c r="K720" s="847">
        <v>63555095</v>
      </c>
      <c r="L720" s="841">
        <v>566418216</v>
      </c>
      <c r="M720" s="847">
        <v>415267097</v>
      </c>
      <c r="N720" s="839">
        <f>Indicadores[[#This Row],[Ventas]]/Indicadores[[#This Row],[Activos totales]]</f>
        <v>0.73314573096286151</v>
      </c>
      <c r="O720" s="837">
        <f>IF(Indicadores[[#This Row],[Ventas]]=0,0,Indicadores[[#This Row],[EBITDA]]/Indicadores[[#This Row],[Ventas]])</f>
        <v>0.15304630552032394</v>
      </c>
      <c r="P720" s="837">
        <f>IF(Indicadores[[#This Row],[Ventas]]=0,0,Indicadores[[#This Row],[UAI]]/Indicadores[[#This Row],[Ventas]])</f>
        <v>0.10189324005123382</v>
      </c>
      <c r="Q720" s="837">
        <f>IFERROR(Indicadores[[#This Row],[Ventas]]/Indicadores[[#This Row],[Activos totales]],0)</f>
        <v>0.73314573096286151</v>
      </c>
    </row>
    <row r="721" spans="1:17" hidden="1" x14ac:dyDescent="0.35">
      <c r="A721" s="13" t="str">
        <f>MID(Indicadores[[#This Row],[CIIU]],2,4)</f>
        <v>5813</v>
      </c>
      <c r="B721" s="13" t="str">
        <f>Indicadores[[#This Row],[CIIU]]&amp;Indicadores[[#This Row],[Año]]</f>
        <v>J58132017</v>
      </c>
      <c r="C721" s="14" t="s">
        <v>3093</v>
      </c>
      <c r="D721" s="14" t="s">
        <v>3094</v>
      </c>
      <c r="E721" s="848">
        <v>2017</v>
      </c>
      <c r="F721" s="849" t="s">
        <v>3098</v>
      </c>
      <c r="G721" s="693" t="s">
        <v>3099</v>
      </c>
      <c r="H721" s="848" t="s">
        <v>3100</v>
      </c>
      <c r="I721" s="693" t="s">
        <v>3099</v>
      </c>
      <c r="J721" s="847">
        <v>-3476769</v>
      </c>
      <c r="K721" s="847">
        <v>10825311</v>
      </c>
      <c r="L721" s="841">
        <v>623361092</v>
      </c>
      <c r="M721" s="847">
        <v>493279837</v>
      </c>
      <c r="N721" s="839">
        <f>Indicadores[[#This Row],[Ventas]]/Indicadores[[#This Row],[Activos totales]]</f>
        <v>0.79132278759547603</v>
      </c>
      <c r="O721" s="837">
        <f>IF(Indicadores[[#This Row],[Ventas]]=0,0,Indicadores[[#This Row],[EBITDA]]/Indicadores[[#This Row],[Ventas]])</f>
        <v>2.1945577718798993E-2</v>
      </c>
      <c r="P721" s="837">
        <f>IF(Indicadores[[#This Row],[Ventas]]=0,0,Indicadores[[#This Row],[UAI]]/Indicadores[[#This Row],[Ventas]])</f>
        <v>-7.0482690335465711E-3</v>
      </c>
      <c r="Q721" s="837">
        <f>IFERROR(Indicadores[[#This Row],[Ventas]]/Indicadores[[#This Row],[Activos totales]],0)</f>
        <v>0.79132278759547603</v>
      </c>
    </row>
    <row r="722" spans="1:17" hidden="1" x14ac:dyDescent="0.35">
      <c r="A722" s="13" t="str">
        <f>MID(Indicadores[[#This Row],[CIIU]],2,4)</f>
        <v>5819</v>
      </c>
      <c r="B722" s="13" t="str">
        <f>Indicadores[[#This Row],[CIIU]]&amp;Indicadores[[#This Row],[Año]]</f>
        <v>J58192017</v>
      </c>
      <c r="C722" s="14" t="s">
        <v>3093</v>
      </c>
      <c r="D722" s="14" t="s">
        <v>3094</v>
      </c>
      <c r="E722" s="848">
        <v>2017</v>
      </c>
      <c r="F722" s="849" t="s">
        <v>3101</v>
      </c>
      <c r="G722" s="693" t="s">
        <v>3102</v>
      </c>
      <c r="H722" s="848" t="s">
        <v>3103</v>
      </c>
      <c r="I722" s="693" t="s">
        <v>3102</v>
      </c>
      <c r="J722" s="847">
        <v>-360</v>
      </c>
      <c r="K722" s="847">
        <v>437</v>
      </c>
      <c r="L722" s="841">
        <v>70628</v>
      </c>
      <c r="M722" s="847">
        <v>72335</v>
      </c>
      <c r="N722" s="839">
        <f>Indicadores[[#This Row],[Ventas]]/Indicadores[[#This Row],[Activos totales]]</f>
        <v>1.024168884861528</v>
      </c>
      <c r="O722" s="837">
        <f>IF(Indicadores[[#This Row],[Ventas]]=0,0,Indicadores[[#This Row],[EBITDA]]/Indicadores[[#This Row],[Ventas]])</f>
        <v>6.0413354531001591E-3</v>
      </c>
      <c r="P722" s="837">
        <f>IF(Indicadores[[#This Row],[Ventas]]=0,0,Indicadores[[#This Row],[UAI]]/Indicadores[[#This Row],[Ventas]])</f>
        <v>-4.9768438515241584E-3</v>
      </c>
      <c r="Q722" s="837">
        <f>IFERROR(Indicadores[[#This Row],[Ventas]]/Indicadores[[#This Row],[Activos totales]],0)</f>
        <v>1.024168884861528</v>
      </c>
    </row>
    <row r="723" spans="1:17" hidden="1" x14ac:dyDescent="0.35">
      <c r="A723" s="13" t="str">
        <f>MID(Indicadores[[#This Row],[CIIU]],2,4)</f>
        <v>5820</v>
      </c>
      <c r="B723" s="13" t="str">
        <f>Indicadores[[#This Row],[CIIU]]&amp;Indicadores[[#This Row],[Año]]</f>
        <v>J58202017</v>
      </c>
      <c r="C723" s="14" t="s">
        <v>3093</v>
      </c>
      <c r="D723" s="14" t="s">
        <v>3094</v>
      </c>
      <c r="E723" s="848">
        <v>2017</v>
      </c>
      <c r="F723" s="849" t="s">
        <v>3104</v>
      </c>
      <c r="G723" s="693" t="s">
        <v>3105</v>
      </c>
      <c r="H723" s="848" t="s">
        <v>3106</v>
      </c>
      <c r="I723" s="693" t="s">
        <v>3105</v>
      </c>
      <c r="J723" s="847">
        <v>-66780</v>
      </c>
      <c r="K723" s="847">
        <v>-177207</v>
      </c>
      <c r="L723" s="841">
        <v>1895978</v>
      </c>
      <c r="M723" s="847">
        <v>3476182</v>
      </c>
      <c r="N723" s="839">
        <f>Indicadores[[#This Row],[Ventas]]/Indicadores[[#This Row],[Activos totales]]</f>
        <v>1.8334505991103272</v>
      </c>
      <c r="O723" s="837">
        <f>IF(Indicadores[[#This Row],[Ventas]]=0,0,Indicadores[[#This Row],[EBITDA]]/Indicadores[[#This Row],[Ventas]])</f>
        <v>-5.0977480465637298E-2</v>
      </c>
      <c r="P723" s="837">
        <f>IF(Indicadores[[#This Row],[Ventas]]=0,0,Indicadores[[#This Row],[UAI]]/Indicadores[[#This Row],[Ventas]])</f>
        <v>-1.9210731774113091E-2</v>
      </c>
      <c r="Q723" s="837">
        <f>IFERROR(Indicadores[[#This Row],[Ventas]]/Indicadores[[#This Row],[Activos totales]],0)</f>
        <v>1.8334505991103272</v>
      </c>
    </row>
    <row r="724" spans="1:17" hidden="1" x14ac:dyDescent="0.35">
      <c r="A724" s="13" t="str">
        <f>MID(Indicadores[[#This Row],[CIIU]],2,4)</f>
        <v>5911</v>
      </c>
      <c r="B724" s="13" t="str">
        <f>Indicadores[[#This Row],[CIIU]]&amp;Indicadores[[#This Row],[Año]]</f>
        <v>J59112017</v>
      </c>
      <c r="C724" s="14" t="s">
        <v>3093</v>
      </c>
      <c r="D724" s="14" t="s">
        <v>3107</v>
      </c>
      <c r="E724" s="848">
        <v>2017</v>
      </c>
      <c r="F724" s="849" t="s">
        <v>3108</v>
      </c>
      <c r="G724" s="693" t="s">
        <v>3109</v>
      </c>
      <c r="H724" s="848" t="s">
        <v>3110</v>
      </c>
      <c r="I724" s="693" t="s">
        <v>3109</v>
      </c>
      <c r="J724" s="847">
        <v>12888622</v>
      </c>
      <c r="K724" s="847">
        <v>19720446</v>
      </c>
      <c r="L724" s="841">
        <v>372807646</v>
      </c>
      <c r="M724" s="847">
        <v>253479134</v>
      </c>
      <c r="N724" s="839">
        <f>Indicadores[[#This Row],[Ventas]]/Indicadores[[#This Row],[Activos totales]]</f>
        <v>0.67991935444371221</v>
      </c>
      <c r="O724" s="837">
        <f>IF(Indicadores[[#This Row],[Ventas]]=0,0,Indicadores[[#This Row],[EBITDA]]/Indicadores[[#This Row],[Ventas]])</f>
        <v>7.7799090161007098E-2</v>
      </c>
      <c r="P724" s="837">
        <f>IF(Indicadores[[#This Row],[Ventas]]=0,0,Indicadores[[#This Row],[UAI]]/Indicadores[[#This Row],[Ventas]])</f>
        <v>5.084687562487885E-2</v>
      </c>
      <c r="Q724" s="837">
        <f>IFERROR(Indicadores[[#This Row],[Ventas]]/Indicadores[[#This Row],[Activos totales]],0)</f>
        <v>0.67991935444371221</v>
      </c>
    </row>
    <row r="725" spans="1:17" hidden="1" x14ac:dyDescent="0.35">
      <c r="A725" s="13" t="str">
        <f>MID(Indicadores[[#This Row],[CIIU]],2,4)</f>
        <v>5912</v>
      </c>
      <c r="B725" s="13" t="str">
        <f>Indicadores[[#This Row],[CIIU]]&amp;Indicadores[[#This Row],[Año]]</f>
        <v>J59122017</v>
      </c>
      <c r="C725" s="14" t="s">
        <v>3093</v>
      </c>
      <c r="D725" s="14" t="s">
        <v>3107</v>
      </c>
      <c r="E725" s="848">
        <v>2017</v>
      </c>
      <c r="F725" s="849" t="s">
        <v>3111</v>
      </c>
      <c r="G725" s="693" t="s">
        <v>3112</v>
      </c>
      <c r="H725" s="848" t="s">
        <v>3113</v>
      </c>
      <c r="I725" s="693" t="s">
        <v>3112</v>
      </c>
      <c r="J725" s="847">
        <v>-37638</v>
      </c>
      <c r="K725" s="847">
        <v>-860</v>
      </c>
      <c r="L725" s="841">
        <v>11671009</v>
      </c>
      <c r="M725" s="847">
        <v>247696</v>
      </c>
      <c r="N725" s="839">
        <f>Indicadores[[#This Row],[Ventas]]/Indicadores[[#This Row],[Activos totales]]</f>
        <v>2.1223186444291151E-2</v>
      </c>
      <c r="O725" s="837">
        <f>IF(Indicadores[[#This Row],[Ventas]]=0,0,Indicadores[[#This Row],[EBITDA]]/Indicadores[[#This Row],[Ventas]])</f>
        <v>-3.471997932950068E-3</v>
      </c>
      <c r="P725" s="837">
        <f>IF(Indicadores[[#This Row],[Ventas]]=0,0,Indicadores[[#This Row],[UAI]]/Indicadores[[#This Row],[Ventas]])</f>
        <v>-0.1519523932562496</v>
      </c>
      <c r="Q725" s="837">
        <f>IFERROR(Indicadores[[#This Row],[Ventas]]/Indicadores[[#This Row],[Activos totales]],0)</f>
        <v>2.1223186444291151E-2</v>
      </c>
    </row>
    <row r="726" spans="1:17" hidden="1" x14ac:dyDescent="0.35">
      <c r="A726" s="13" t="str">
        <f>MID(Indicadores[[#This Row],[CIIU]],2,4)</f>
        <v>5913</v>
      </c>
      <c r="B726" s="13" t="str">
        <f>Indicadores[[#This Row],[CIIU]]&amp;Indicadores[[#This Row],[Año]]</f>
        <v>J59132017</v>
      </c>
      <c r="C726" s="14" t="s">
        <v>3093</v>
      </c>
      <c r="D726" s="14" t="s">
        <v>3107</v>
      </c>
      <c r="E726" s="848">
        <v>2017</v>
      </c>
      <c r="F726" s="849" t="s">
        <v>3114</v>
      </c>
      <c r="G726" s="838" t="s">
        <v>3115</v>
      </c>
      <c r="H726" s="848" t="s">
        <v>3116</v>
      </c>
      <c r="I726" s="693" t="s">
        <v>3115</v>
      </c>
      <c r="J726" s="847">
        <v>5061894</v>
      </c>
      <c r="K726" s="847">
        <v>6685565</v>
      </c>
      <c r="L726" s="841">
        <v>52549798</v>
      </c>
      <c r="M726" s="847">
        <v>63978449</v>
      </c>
      <c r="N726" s="839">
        <f>Indicadores[[#This Row],[Ventas]]/Indicadores[[#This Row],[Activos totales]]</f>
        <v>1.2174823012640315</v>
      </c>
      <c r="O726" s="837">
        <f>IF(Indicadores[[#This Row],[Ventas]]=0,0,Indicadores[[#This Row],[EBITDA]]/Indicadores[[#This Row],[Ventas]])</f>
        <v>0.10449714090443174</v>
      </c>
      <c r="P726" s="837">
        <f>IF(Indicadores[[#This Row],[Ventas]]=0,0,Indicadores[[#This Row],[UAI]]/Indicadores[[#This Row],[Ventas]])</f>
        <v>7.9118735748032909E-2</v>
      </c>
      <c r="Q726" s="837">
        <f>IFERROR(Indicadores[[#This Row],[Ventas]]/Indicadores[[#This Row],[Activos totales]],0)</f>
        <v>1.2174823012640315</v>
      </c>
    </row>
    <row r="727" spans="1:17" hidden="1" x14ac:dyDescent="0.35">
      <c r="A727" s="13" t="str">
        <f>MID(Indicadores[[#This Row],[CIIU]],2,4)</f>
        <v>5914</v>
      </c>
      <c r="B727" s="13" t="str">
        <f>Indicadores[[#This Row],[CIIU]]&amp;Indicadores[[#This Row],[Año]]</f>
        <v>J59142017</v>
      </c>
      <c r="C727" s="14" t="s">
        <v>3093</v>
      </c>
      <c r="D727" s="14" t="s">
        <v>3107</v>
      </c>
      <c r="E727" s="848">
        <v>2017</v>
      </c>
      <c r="F727" s="849" t="s">
        <v>3117</v>
      </c>
      <c r="G727" s="693" t="s">
        <v>3118</v>
      </c>
      <c r="H727" s="848" t="s">
        <v>3119</v>
      </c>
      <c r="I727" s="693" t="s">
        <v>3118</v>
      </c>
      <c r="J727" s="847">
        <v>-278588</v>
      </c>
      <c r="K727" s="847">
        <v>48170509</v>
      </c>
      <c r="L727" s="841">
        <v>1384175560</v>
      </c>
      <c r="M727" s="847">
        <v>491105198</v>
      </c>
      <c r="N727" s="839">
        <f>Indicadores[[#This Row],[Ventas]]/Indicadores[[#This Row],[Activos totales]]</f>
        <v>0.35479978999195738</v>
      </c>
      <c r="O727" s="837">
        <f>IF(Indicadores[[#This Row],[Ventas]]=0,0,Indicadores[[#This Row],[EBITDA]]/Indicadores[[#This Row],[Ventas]])</f>
        <v>9.8085927813779727E-2</v>
      </c>
      <c r="P727" s="837">
        <f>IF(Indicadores[[#This Row],[Ventas]]=0,0,Indicadores[[#This Row],[UAI]]/Indicadores[[#This Row],[Ventas]])</f>
        <v>-5.6726746353843321E-4</v>
      </c>
      <c r="Q727" s="837">
        <f>IFERROR(Indicadores[[#This Row],[Ventas]]/Indicadores[[#This Row],[Activos totales]],0)</f>
        <v>0.35479978999195738</v>
      </c>
    </row>
    <row r="728" spans="1:17" hidden="1" x14ac:dyDescent="0.35">
      <c r="A728" s="13" t="str">
        <f>MID(Indicadores[[#This Row],[CIIU]],2,4)</f>
        <v>5920</v>
      </c>
      <c r="B728" s="13" t="str">
        <f>Indicadores[[#This Row],[CIIU]]&amp;Indicadores[[#This Row],[Año]]</f>
        <v>J59202017</v>
      </c>
      <c r="C728" s="14" t="s">
        <v>3093</v>
      </c>
      <c r="D728" s="14" t="s">
        <v>3107</v>
      </c>
      <c r="E728" s="848">
        <v>2017</v>
      </c>
      <c r="F728" s="849" t="s">
        <v>3120</v>
      </c>
      <c r="G728" s="693" t="s">
        <v>3121</v>
      </c>
      <c r="H728" s="848" t="s">
        <v>3122</v>
      </c>
      <c r="I728" s="693" t="s">
        <v>3121</v>
      </c>
      <c r="J728" s="847">
        <v>-3585796</v>
      </c>
      <c r="K728" s="847">
        <v>-1868121</v>
      </c>
      <c r="L728" s="841">
        <v>80102826</v>
      </c>
      <c r="M728" s="847">
        <v>83187590</v>
      </c>
      <c r="N728" s="839">
        <f>Indicadores[[#This Row],[Ventas]]/Indicadores[[#This Row],[Activos totales]]</f>
        <v>1.0385100520673265</v>
      </c>
      <c r="O728" s="837">
        <f>IF(Indicadores[[#This Row],[Ventas]]=0,0,Indicadores[[#This Row],[EBITDA]]/Indicadores[[#This Row],[Ventas]])</f>
        <v>-2.2456727019018102E-2</v>
      </c>
      <c r="P728" s="837">
        <f>IF(Indicadores[[#This Row],[Ventas]]=0,0,Indicadores[[#This Row],[UAI]]/Indicadores[[#This Row],[Ventas]])</f>
        <v>-4.3104939090073409E-2</v>
      </c>
      <c r="Q728" s="837">
        <f>IFERROR(Indicadores[[#This Row],[Ventas]]/Indicadores[[#This Row],[Activos totales]],0)</f>
        <v>1.0385100520673265</v>
      </c>
    </row>
    <row r="729" spans="1:17" hidden="1" x14ac:dyDescent="0.35">
      <c r="A729" s="13" t="str">
        <f>MID(Indicadores[[#This Row],[CIIU]],2,4)</f>
        <v>6010</v>
      </c>
      <c r="B729" s="13" t="str">
        <f>Indicadores[[#This Row],[CIIU]]&amp;Indicadores[[#This Row],[Año]]</f>
        <v>J60102017</v>
      </c>
      <c r="C729" s="14" t="s">
        <v>3093</v>
      </c>
      <c r="D729" s="14" t="s">
        <v>3123</v>
      </c>
      <c r="E729" s="848">
        <v>2017</v>
      </c>
      <c r="F729" s="849" t="s">
        <v>3124</v>
      </c>
      <c r="G729" s="693" t="s">
        <v>3125</v>
      </c>
      <c r="H729" s="848" t="s">
        <v>3126</v>
      </c>
      <c r="I729" s="693" t="s">
        <v>3125</v>
      </c>
      <c r="J729" s="847">
        <v>43020004</v>
      </c>
      <c r="K729" s="847">
        <v>95165412</v>
      </c>
      <c r="L729" s="841">
        <v>874834490</v>
      </c>
      <c r="M729" s="847">
        <v>500302617</v>
      </c>
      <c r="N729" s="839">
        <f>Indicadores[[#This Row],[Ventas]]/Indicadores[[#This Row],[Activos totales]]</f>
        <v>0.57188259347205206</v>
      </c>
      <c r="O729" s="837">
        <f>IF(Indicadores[[#This Row],[Ventas]]=0,0,Indicadores[[#This Row],[EBITDA]]/Indicadores[[#This Row],[Ventas]])</f>
        <v>0.19021569899163648</v>
      </c>
      <c r="P729" s="837">
        <f>IF(Indicadores[[#This Row],[Ventas]]=0,0,Indicadores[[#This Row],[UAI]]/Indicadores[[#This Row],[Ventas]])</f>
        <v>8.5987965159894417E-2</v>
      </c>
      <c r="Q729" s="837">
        <f>IFERROR(Indicadores[[#This Row],[Ventas]]/Indicadores[[#This Row],[Activos totales]],0)</f>
        <v>0.57188259347205206</v>
      </c>
    </row>
    <row r="730" spans="1:17" hidden="1" x14ac:dyDescent="0.35">
      <c r="A730" s="13" t="str">
        <f>MID(Indicadores[[#This Row],[CIIU]],2,4)</f>
        <v>6020</v>
      </c>
      <c r="B730" s="13" t="str">
        <f>Indicadores[[#This Row],[CIIU]]&amp;Indicadores[[#This Row],[Año]]</f>
        <v>J60202017</v>
      </c>
      <c r="C730" s="14" t="s">
        <v>3093</v>
      </c>
      <c r="D730" s="14" t="s">
        <v>3123</v>
      </c>
      <c r="E730" s="848">
        <v>2017</v>
      </c>
      <c r="F730" s="849" t="s">
        <v>3127</v>
      </c>
      <c r="G730" s="693" t="s">
        <v>3128</v>
      </c>
      <c r="H730" s="848" t="s">
        <v>3129</v>
      </c>
      <c r="I730" s="693" t="s">
        <v>3128</v>
      </c>
      <c r="J730" s="847">
        <v>4938873</v>
      </c>
      <c r="K730" s="847">
        <v>24321602</v>
      </c>
      <c r="L730" s="841">
        <v>378333617</v>
      </c>
      <c r="M730" s="847">
        <v>264323826</v>
      </c>
      <c r="N730" s="839">
        <f>Indicadores[[#This Row],[Ventas]]/Indicadores[[#This Row],[Activos totales]]</f>
        <v>0.6986527607458155</v>
      </c>
      <c r="O730" s="837">
        <f>IF(Indicadores[[#This Row],[Ventas]]=0,0,Indicadores[[#This Row],[EBITDA]]/Indicadores[[#This Row],[Ventas]])</f>
        <v>9.2014414167869985E-2</v>
      </c>
      <c r="P730" s="837">
        <f>IF(Indicadores[[#This Row],[Ventas]]=0,0,Indicadores[[#This Row],[UAI]]/Indicadores[[#This Row],[Ventas]])</f>
        <v>1.8684933079018008E-2</v>
      </c>
      <c r="Q730" s="837">
        <f>IFERROR(Indicadores[[#This Row],[Ventas]]/Indicadores[[#This Row],[Activos totales]],0)</f>
        <v>0.6986527607458155</v>
      </c>
    </row>
    <row r="731" spans="1:17" hidden="1" x14ac:dyDescent="0.35">
      <c r="A731" s="13" t="str">
        <f>MID(Indicadores[[#This Row],[CIIU]],2,4)</f>
        <v>6110</v>
      </c>
      <c r="B731" s="13" t="str">
        <f>Indicadores[[#This Row],[CIIU]]&amp;Indicadores[[#This Row],[Año]]</f>
        <v>J61102017</v>
      </c>
      <c r="C731" s="14" t="s">
        <v>3093</v>
      </c>
      <c r="D731" s="14" t="s">
        <v>3130</v>
      </c>
      <c r="E731" s="848">
        <v>2017</v>
      </c>
      <c r="F731" s="849" t="s">
        <v>3131</v>
      </c>
      <c r="G731" s="693" t="s">
        <v>3132</v>
      </c>
      <c r="H731" s="848" t="s">
        <v>3133</v>
      </c>
      <c r="I731" s="693" t="s">
        <v>3132</v>
      </c>
      <c r="J731" s="847">
        <v>92218235</v>
      </c>
      <c r="K731" s="847">
        <v>130017370</v>
      </c>
      <c r="L731" s="841">
        <v>1704139532</v>
      </c>
      <c r="M731" s="847">
        <v>871269576</v>
      </c>
      <c r="N731" s="839">
        <f>Indicadores[[#This Row],[Ventas]]/Indicadores[[#This Row],[Activos totales]]</f>
        <v>0.51126657156850697</v>
      </c>
      <c r="O731" s="837">
        <f>IF(Indicadores[[#This Row],[Ventas]]=0,0,Indicadores[[#This Row],[EBITDA]]/Indicadores[[#This Row],[Ventas]])</f>
        <v>0.149227487773543</v>
      </c>
      <c r="P731" s="837">
        <f>IF(Indicadores[[#This Row],[Ventas]]=0,0,Indicadores[[#This Row],[UAI]]/Indicadores[[#This Row],[Ventas]])</f>
        <v>0.10584351564687254</v>
      </c>
      <c r="Q731" s="837">
        <f>IFERROR(Indicadores[[#This Row],[Ventas]]/Indicadores[[#This Row],[Activos totales]],0)</f>
        <v>0.51126657156850697</v>
      </c>
    </row>
    <row r="732" spans="1:17" hidden="1" x14ac:dyDescent="0.35">
      <c r="A732" s="13" t="str">
        <f>MID(Indicadores[[#This Row],[CIIU]],2,4)</f>
        <v>6120</v>
      </c>
      <c r="B732" s="13" t="str">
        <f>Indicadores[[#This Row],[CIIU]]&amp;Indicadores[[#This Row],[Año]]</f>
        <v>J61202017</v>
      </c>
      <c r="C732" s="14" t="s">
        <v>3093</v>
      </c>
      <c r="D732" s="14" t="s">
        <v>3130</v>
      </c>
      <c r="E732" s="848">
        <v>2017</v>
      </c>
      <c r="F732" s="849" t="s">
        <v>3134</v>
      </c>
      <c r="G732" s="693" t="s">
        <v>3135</v>
      </c>
      <c r="H732" s="848" t="s">
        <v>3136</v>
      </c>
      <c r="I732" s="693" t="s">
        <v>3135</v>
      </c>
      <c r="J732" s="847">
        <v>6325751</v>
      </c>
      <c r="K732" s="847">
        <v>584157839</v>
      </c>
      <c r="L732" s="841">
        <v>3085033936</v>
      </c>
      <c r="M732" s="847">
        <v>2855036491</v>
      </c>
      <c r="N732" s="839">
        <f>Indicadores[[#This Row],[Ventas]]/Indicadores[[#This Row],[Activos totales]]</f>
        <v>0.9254473533285632</v>
      </c>
      <c r="O732" s="837">
        <f>IF(Indicadores[[#This Row],[Ventas]]=0,0,Indicadores[[#This Row],[EBITDA]]/Indicadores[[#This Row],[Ventas]])</f>
        <v>0.20460608501553473</v>
      </c>
      <c r="P732" s="837">
        <f>IF(Indicadores[[#This Row],[Ventas]]=0,0,Indicadores[[#This Row],[UAI]]/Indicadores[[#This Row],[Ventas]])</f>
        <v>2.2156462868130815E-3</v>
      </c>
      <c r="Q732" s="837">
        <f>IFERROR(Indicadores[[#This Row],[Ventas]]/Indicadores[[#This Row],[Activos totales]],0)</f>
        <v>0.9254473533285632</v>
      </c>
    </row>
    <row r="733" spans="1:17" hidden="1" x14ac:dyDescent="0.35">
      <c r="A733" s="13" t="str">
        <f>MID(Indicadores[[#This Row],[CIIU]],2,4)</f>
        <v>6130</v>
      </c>
      <c r="B733" s="13" t="str">
        <f>Indicadores[[#This Row],[CIIU]]&amp;Indicadores[[#This Row],[Año]]</f>
        <v>J61302017</v>
      </c>
      <c r="C733" s="14" t="s">
        <v>3093</v>
      </c>
      <c r="D733" s="14" t="s">
        <v>3130</v>
      </c>
      <c r="E733" s="848">
        <v>2017</v>
      </c>
      <c r="F733" s="849" t="s">
        <v>3137</v>
      </c>
      <c r="G733" s="693" t="s">
        <v>3138</v>
      </c>
      <c r="H733" s="848" t="s">
        <v>3139</v>
      </c>
      <c r="I733" s="693" t="s">
        <v>3138</v>
      </c>
      <c r="J733" s="847">
        <v>-58448506</v>
      </c>
      <c r="K733" s="847">
        <v>123097085</v>
      </c>
      <c r="L733" s="841">
        <v>870686758</v>
      </c>
      <c r="M733" s="847">
        <v>1213826964</v>
      </c>
      <c r="N733" s="839">
        <f>Indicadores[[#This Row],[Ventas]]/Indicadores[[#This Row],[Activos totales]]</f>
        <v>1.3941029340887254</v>
      </c>
      <c r="O733" s="837">
        <f>IF(Indicadores[[#This Row],[Ventas]]=0,0,Indicadores[[#This Row],[EBITDA]]/Indicadores[[#This Row],[Ventas]])</f>
        <v>0.10141238302562539</v>
      </c>
      <c r="P733" s="837">
        <f>IF(Indicadores[[#This Row],[Ventas]]=0,0,Indicadores[[#This Row],[UAI]]/Indicadores[[#This Row],[Ventas]])</f>
        <v>-4.8152255414883008E-2</v>
      </c>
      <c r="Q733" s="837">
        <f>IFERROR(Indicadores[[#This Row],[Ventas]]/Indicadores[[#This Row],[Activos totales]],0)</f>
        <v>1.3941029340887254</v>
      </c>
    </row>
    <row r="734" spans="1:17" hidden="1" x14ac:dyDescent="0.35">
      <c r="A734" s="13" t="str">
        <f>MID(Indicadores[[#This Row],[CIIU]],2,4)</f>
        <v>6190</v>
      </c>
      <c r="B734" s="13" t="str">
        <f>Indicadores[[#This Row],[CIIU]]&amp;Indicadores[[#This Row],[Año]]</f>
        <v>J61902017</v>
      </c>
      <c r="C734" s="14" t="s">
        <v>3093</v>
      </c>
      <c r="D734" s="14" t="s">
        <v>3130</v>
      </c>
      <c r="E734" s="848">
        <v>2017</v>
      </c>
      <c r="F734" s="849" t="s">
        <v>3140</v>
      </c>
      <c r="G734" s="693" t="s">
        <v>3141</v>
      </c>
      <c r="H734" s="848" t="s">
        <v>3142</v>
      </c>
      <c r="I734" s="693" t="s">
        <v>3141</v>
      </c>
      <c r="J734" s="847">
        <v>111858717</v>
      </c>
      <c r="K734" s="847">
        <v>272553829</v>
      </c>
      <c r="L734" s="841">
        <v>3254286911</v>
      </c>
      <c r="M734" s="847">
        <v>3325654876</v>
      </c>
      <c r="N734" s="839">
        <f>Indicadores[[#This Row],[Ventas]]/Indicadores[[#This Row],[Activos totales]]</f>
        <v>1.0219304465008188</v>
      </c>
      <c r="O734" s="837">
        <f>IF(Indicadores[[#This Row],[Ventas]]=0,0,Indicadores[[#This Row],[EBITDA]]/Indicadores[[#This Row],[Ventas]])</f>
        <v>8.195493494136101E-2</v>
      </c>
      <c r="P734" s="837">
        <f>IF(Indicadores[[#This Row],[Ventas]]=0,0,Indicadores[[#This Row],[UAI]]/Indicadores[[#This Row],[Ventas]])</f>
        <v>3.363509479207908E-2</v>
      </c>
      <c r="Q734" s="837">
        <f>IFERROR(Indicadores[[#This Row],[Ventas]]/Indicadores[[#This Row],[Activos totales]],0)</f>
        <v>1.0219304465008188</v>
      </c>
    </row>
    <row r="735" spans="1:17" hidden="1" x14ac:dyDescent="0.35">
      <c r="A735" s="13" t="str">
        <f>MID(Indicadores[[#This Row],[CIIU]],2,4)</f>
        <v>6201</v>
      </c>
      <c r="B735" s="13" t="str">
        <f>Indicadores[[#This Row],[CIIU]]&amp;Indicadores[[#This Row],[Año]]</f>
        <v>J62012017</v>
      </c>
      <c r="C735" s="14" t="s">
        <v>3093</v>
      </c>
      <c r="D735" s="14" t="s">
        <v>3143</v>
      </c>
      <c r="E735" s="848">
        <v>2017</v>
      </c>
      <c r="F735" s="849" t="s">
        <v>3144</v>
      </c>
      <c r="G735" s="693" t="s">
        <v>3145</v>
      </c>
      <c r="H735" s="848" t="s">
        <v>3146</v>
      </c>
      <c r="I735" s="693" t="s">
        <v>3145</v>
      </c>
      <c r="J735" s="847">
        <v>108175853</v>
      </c>
      <c r="K735" s="847">
        <v>164709236</v>
      </c>
      <c r="L735" s="841">
        <v>1420026969</v>
      </c>
      <c r="M735" s="847">
        <v>1704126216</v>
      </c>
      <c r="N735" s="839">
        <f>Indicadores[[#This Row],[Ventas]]/Indicadores[[#This Row],[Activos totales]]</f>
        <v>1.2000660925475706</v>
      </c>
      <c r="O735" s="837">
        <f>IF(Indicadores[[#This Row],[Ventas]]=0,0,Indicadores[[#This Row],[EBITDA]]/Indicadores[[#This Row],[Ventas]])</f>
        <v>9.6653190622589424E-2</v>
      </c>
      <c r="P735" s="837">
        <f>IF(Indicadores[[#This Row],[Ventas]]=0,0,Indicadores[[#This Row],[UAI]]/Indicadores[[#This Row],[Ventas]])</f>
        <v>6.3478779907461966E-2</v>
      </c>
      <c r="Q735" s="837">
        <f>IFERROR(Indicadores[[#This Row],[Ventas]]/Indicadores[[#This Row],[Activos totales]],0)</f>
        <v>1.2000660925475706</v>
      </c>
    </row>
    <row r="736" spans="1:17" hidden="1" x14ac:dyDescent="0.35">
      <c r="A736" s="13" t="str">
        <f>MID(Indicadores[[#This Row],[CIIU]],2,4)</f>
        <v>6202</v>
      </c>
      <c r="B736" s="13" t="str">
        <f>Indicadores[[#This Row],[CIIU]]&amp;Indicadores[[#This Row],[Año]]</f>
        <v>J62022017</v>
      </c>
      <c r="C736" s="14" t="s">
        <v>3093</v>
      </c>
      <c r="D736" s="14" t="s">
        <v>3143</v>
      </c>
      <c r="E736" s="848">
        <v>2017</v>
      </c>
      <c r="F736" s="849" t="s">
        <v>3147</v>
      </c>
      <c r="G736" s="693" t="s">
        <v>3148</v>
      </c>
      <c r="H736" s="848" t="s">
        <v>3149</v>
      </c>
      <c r="I736" s="693" t="s">
        <v>3148</v>
      </c>
      <c r="J736" s="847">
        <v>232613737</v>
      </c>
      <c r="K736" s="847">
        <v>503523202</v>
      </c>
      <c r="L736" s="841">
        <v>3831073923</v>
      </c>
      <c r="M736" s="847">
        <v>5035481211</v>
      </c>
      <c r="N736" s="839">
        <f>Indicadores[[#This Row],[Ventas]]/Indicadores[[#This Row],[Activos totales]]</f>
        <v>1.3143785038365599</v>
      </c>
      <c r="O736" s="837">
        <f>IF(Indicadores[[#This Row],[Ventas]]=0,0,Indicadores[[#This Row],[EBITDA]]/Indicadores[[#This Row],[Ventas]])</f>
        <v>9.9995051297193688E-2</v>
      </c>
      <c r="P736" s="837">
        <f>IF(Indicadores[[#This Row],[Ventas]]=0,0,Indicadores[[#This Row],[UAI]]/Indicadores[[#This Row],[Ventas]])</f>
        <v>4.6194936939066657E-2</v>
      </c>
      <c r="Q736" s="837">
        <f>IFERROR(Indicadores[[#This Row],[Ventas]]/Indicadores[[#This Row],[Activos totales]],0)</f>
        <v>1.3143785038365599</v>
      </c>
    </row>
    <row r="737" spans="1:17" hidden="1" x14ac:dyDescent="0.35">
      <c r="A737" s="13" t="str">
        <f>MID(Indicadores[[#This Row],[CIIU]],2,4)</f>
        <v>6209</v>
      </c>
      <c r="B737" s="13" t="str">
        <f>Indicadores[[#This Row],[CIIU]]&amp;Indicadores[[#This Row],[Año]]</f>
        <v>J62092017</v>
      </c>
      <c r="C737" s="14" t="s">
        <v>3093</v>
      </c>
      <c r="D737" s="14" t="s">
        <v>3143</v>
      </c>
      <c r="E737" s="848">
        <v>2017</v>
      </c>
      <c r="F737" s="849" t="s">
        <v>3150</v>
      </c>
      <c r="G737" s="693" t="s">
        <v>3151</v>
      </c>
      <c r="H737" s="848" t="s">
        <v>3152</v>
      </c>
      <c r="I737" s="693" t="s">
        <v>3151</v>
      </c>
      <c r="J737" s="847">
        <v>-39759650</v>
      </c>
      <c r="K737" s="847">
        <v>23254147</v>
      </c>
      <c r="L737" s="841">
        <v>936085179</v>
      </c>
      <c r="M737" s="847">
        <v>1047247005</v>
      </c>
      <c r="N737" s="839">
        <f>Indicadores[[#This Row],[Ventas]]/Indicadores[[#This Row],[Activos totales]]</f>
        <v>1.1187518278184383</v>
      </c>
      <c r="O737" s="837">
        <f>IF(Indicadores[[#This Row],[Ventas]]=0,0,Indicadores[[#This Row],[EBITDA]]/Indicadores[[#This Row],[Ventas]])</f>
        <v>2.220502602440004E-2</v>
      </c>
      <c r="P737" s="837">
        <f>IF(Indicadores[[#This Row],[Ventas]]=0,0,Indicadores[[#This Row],[UAI]]/Indicadores[[#This Row],[Ventas]])</f>
        <v>-3.7965876063784973E-2</v>
      </c>
      <c r="Q737" s="837">
        <f>IFERROR(Indicadores[[#This Row],[Ventas]]/Indicadores[[#This Row],[Activos totales]],0)</f>
        <v>1.1187518278184383</v>
      </c>
    </row>
    <row r="738" spans="1:17" hidden="1" x14ac:dyDescent="0.35">
      <c r="A738" s="13" t="str">
        <f>MID(Indicadores[[#This Row],[CIIU]],2,4)</f>
        <v>6311</v>
      </c>
      <c r="B738" s="13" t="str">
        <f>Indicadores[[#This Row],[CIIU]]&amp;Indicadores[[#This Row],[Año]]</f>
        <v>J63112017</v>
      </c>
      <c r="C738" s="14" t="s">
        <v>3093</v>
      </c>
      <c r="D738" s="14" t="s">
        <v>3153</v>
      </c>
      <c r="E738" s="848">
        <v>2017</v>
      </c>
      <c r="F738" s="849" t="s">
        <v>3154</v>
      </c>
      <c r="G738" s="693" t="s">
        <v>3155</v>
      </c>
      <c r="H738" s="848" t="s">
        <v>3156</v>
      </c>
      <c r="I738" s="693" t="s">
        <v>3155</v>
      </c>
      <c r="J738" s="847">
        <v>146691325</v>
      </c>
      <c r="K738" s="847">
        <v>284325319</v>
      </c>
      <c r="L738" s="841">
        <v>2024130034</v>
      </c>
      <c r="M738" s="847">
        <v>1517358951</v>
      </c>
      <c r="N738" s="839">
        <f>Indicadores[[#This Row],[Ventas]]/Indicadores[[#This Row],[Activos totales]]</f>
        <v>0.74963511509261072</v>
      </c>
      <c r="O738" s="837">
        <f>IF(Indicadores[[#This Row],[Ventas]]=0,0,Indicadores[[#This Row],[EBITDA]]/Indicadores[[#This Row],[Ventas]])</f>
        <v>0.18738171268744175</v>
      </c>
      <c r="P738" s="837">
        <f>IF(Indicadores[[#This Row],[Ventas]]=0,0,Indicadores[[#This Row],[UAI]]/Indicadores[[#This Row],[Ventas]])</f>
        <v>9.6675427329390037E-2</v>
      </c>
      <c r="Q738" s="837">
        <f>IFERROR(Indicadores[[#This Row],[Ventas]]/Indicadores[[#This Row],[Activos totales]],0)</f>
        <v>0.74963511509261072</v>
      </c>
    </row>
    <row r="739" spans="1:17" hidden="1" x14ac:dyDescent="0.35">
      <c r="A739" s="13" t="str">
        <f>MID(Indicadores[[#This Row],[CIIU]],2,4)</f>
        <v>6312</v>
      </c>
      <c r="B739" s="13" t="str">
        <f>Indicadores[[#This Row],[CIIU]]&amp;Indicadores[[#This Row],[Año]]</f>
        <v>J63122017</v>
      </c>
      <c r="C739" s="14" t="s">
        <v>3093</v>
      </c>
      <c r="D739" s="14" t="s">
        <v>3153</v>
      </c>
      <c r="E739" s="848">
        <v>2017</v>
      </c>
      <c r="F739" s="849" t="s">
        <v>3157</v>
      </c>
      <c r="G739" s="838" t="s">
        <v>3158</v>
      </c>
      <c r="H739" s="848" t="s">
        <v>3159</v>
      </c>
      <c r="I739" s="693" t="s">
        <v>3158</v>
      </c>
      <c r="J739" s="847">
        <v>-5884548</v>
      </c>
      <c r="K739" s="847">
        <v>-4220438</v>
      </c>
      <c r="L739" s="841">
        <v>24092975</v>
      </c>
      <c r="M739" s="847">
        <v>19229483</v>
      </c>
      <c r="N739" s="839">
        <f>Indicadores[[#This Row],[Ventas]]/Indicadores[[#This Row],[Activos totales]]</f>
        <v>0.7981365107463898</v>
      </c>
      <c r="O739" s="837">
        <f>IF(Indicadores[[#This Row],[Ventas]]=0,0,Indicadores[[#This Row],[EBITDA]]/Indicadores[[#This Row],[Ventas]])</f>
        <v>-0.21947745553013567</v>
      </c>
      <c r="P739" s="837">
        <f>IF(Indicadores[[#This Row],[Ventas]]=0,0,Indicadores[[#This Row],[UAI]]/Indicadores[[#This Row],[Ventas]])</f>
        <v>-0.30601696363859598</v>
      </c>
      <c r="Q739" s="837">
        <f>IFERROR(Indicadores[[#This Row],[Ventas]]/Indicadores[[#This Row],[Activos totales]],0)</f>
        <v>0.7981365107463898</v>
      </c>
    </row>
    <row r="740" spans="1:17" hidden="1" x14ac:dyDescent="0.35">
      <c r="A740" s="13" t="str">
        <f>MID(Indicadores[[#This Row],[CIIU]],2,4)</f>
        <v>6391</v>
      </c>
      <c r="B740" s="13" t="str">
        <f>Indicadores[[#This Row],[CIIU]]&amp;Indicadores[[#This Row],[Año]]</f>
        <v>J63912017</v>
      </c>
      <c r="C740" s="14" t="s">
        <v>3093</v>
      </c>
      <c r="D740" s="14" t="s">
        <v>3153</v>
      </c>
      <c r="E740" s="848">
        <v>2017</v>
      </c>
      <c r="F740" s="849" t="s">
        <v>3160</v>
      </c>
      <c r="G740" s="693" t="s">
        <v>3161</v>
      </c>
      <c r="H740" s="848" t="s">
        <v>3162</v>
      </c>
      <c r="I740" s="693" t="s">
        <v>3161</v>
      </c>
      <c r="J740" s="847">
        <v>-2911845</v>
      </c>
      <c r="K740" s="847">
        <v>-985275</v>
      </c>
      <c r="L740" s="841">
        <v>72137461</v>
      </c>
      <c r="M740" s="847">
        <v>24125991</v>
      </c>
      <c r="N740" s="839">
        <f>Indicadores[[#This Row],[Ventas]]/Indicadores[[#This Row],[Activos totales]]</f>
        <v>0.33444469302849461</v>
      </c>
      <c r="O740" s="837">
        <f>IF(Indicadores[[#This Row],[Ventas]]=0,0,Indicadores[[#This Row],[EBITDA]]/Indicadores[[#This Row],[Ventas]])</f>
        <v>-4.083873694556215E-2</v>
      </c>
      <c r="P740" s="837">
        <f>IF(Indicadores[[#This Row],[Ventas]]=0,0,Indicadores[[#This Row],[UAI]]/Indicadores[[#This Row],[Ventas]])</f>
        <v>-0.12069328053716011</v>
      </c>
      <c r="Q740" s="837">
        <f>IFERROR(Indicadores[[#This Row],[Ventas]]/Indicadores[[#This Row],[Activos totales]],0)</f>
        <v>0.33444469302849461</v>
      </c>
    </row>
    <row r="741" spans="1:17" hidden="1" x14ac:dyDescent="0.35">
      <c r="A741" s="13" t="str">
        <f>MID(Indicadores[[#This Row],[CIIU]],2,4)</f>
        <v>6399</v>
      </c>
      <c r="B741" s="13" t="str">
        <f>Indicadores[[#This Row],[CIIU]]&amp;Indicadores[[#This Row],[Año]]</f>
        <v>J63992017</v>
      </c>
      <c r="C741" s="14" t="s">
        <v>3093</v>
      </c>
      <c r="D741" s="14" t="s">
        <v>3153</v>
      </c>
      <c r="E741" s="848">
        <v>2017</v>
      </c>
      <c r="F741" s="849" t="s">
        <v>3163</v>
      </c>
      <c r="G741" s="693" t="s">
        <v>3164</v>
      </c>
      <c r="H741" s="848" t="s">
        <v>3165</v>
      </c>
      <c r="I741" s="693" t="s">
        <v>3164</v>
      </c>
      <c r="J741" s="847">
        <v>140500914</v>
      </c>
      <c r="K741" s="847">
        <v>153766458</v>
      </c>
      <c r="L741" s="841">
        <v>1037482005</v>
      </c>
      <c r="M741" s="847">
        <v>213804672</v>
      </c>
      <c r="N741" s="839">
        <f>Indicadores[[#This Row],[Ventas]]/Indicadores[[#This Row],[Activos totales]]</f>
        <v>0.2060803666662151</v>
      </c>
      <c r="O741" s="837">
        <f>IF(Indicadores[[#This Row],[Ventas]]=0,0,Indicadores[[#This Row],[EBITDA]]/Indicadores[[#This Row],[Ventas]])</f>
        <v>0.71919129063746556</v>
      </c>
      <c r="P741" s="837">
        <f>IF(Indicadores[[#This Row],[Ventas]]=0,0,Indicadores[[#This Row],[UAI]]/Indicadores[[#This Row],[Ventas]])</f>
        <v>0.65714613570277824</v>
      </c>
      <c r="Q741" s="837">
        <f>IFERROR(Indicadores[[#This Row],[Ventas]]/Indicadores[[#This Row],[Activos totales]],0)</f>
        <v>0.2060803666662151</v>
      </c>
    </row>
    <row r="742" spans="1:17" hidden="1" x14ac:dyDescent="0.35">
      <c r="A742" s="13" t="str">
        <f>MID(Indicadores[[#This Row],[CIIU]],2,4)</f>
        <v>6412</v>
      </c>
      <c r="B742" s="13" t="str">
        <f>Indicadores[[#This Row],[CIIU]]&amp;Indicadores[[#This Row],[Año]]</f>
        <v>K64122017</v>
      </c>
      <c r="C742" s="14" t="s">
        <v>3166</v>
      </c>
      <c r="D742" s="14" t="s">
        <v>3167</v>
      </c>
      <c r="E742" s="848">
        <v>2017</v>
      </c>
      <c r="F742" s="849" t="s">
        <v>3168</v>
      </c>
      <c r="G742" s="838" t="e">
        <v>#N/A</v>
      </c>
      <c r="H742" s="848" t="s">
        <v>3169</v>
      </c>
      <c r="I742" s="693" t="s">
        <v>3170</v>
      </c>
      <c r="J742" s="847">
        <v>1765381</v>
      </c>
      <c r="K742" s="847">
        <v>1853376</v>
      </c>
      <c r="L742" s="841">
        <v>11539529</v>
      </c>
      <c r="M742" s="847">
        <v>18082108</v>
      </c>
      <c r="N742" s="839">
        <f>Indicadores[[#This Row],[Ventas]]/Indicadores[[#This Row],[Activos totales]]</f>
        <v>1.5669710609505814</v>
      </c>
      <c r="O742" s="837">
        <f>IF(Indicadores[[#This Row],[Ventas]]=0,0,Indicadores[[#This Row],[EBITDA]]/Indicadores[[#This Row],[Ventas]])</f>
        <v>0.10249778399730827</v>
      </c>
      <c r="P742" s="837">
        <f>IF(Indicadores[[#This Row],[Ventas]]=0,0,Indicadores[[#This Row],[UAI]]/Indicadores[[#This Row],[Ventas]])</f>
        <v>9.7631371298080957E-2</v>
      </c>
      <c r="Q742" s="837">
        <f>IFERROR(Indicadores[[#This Row],[Ventas]]/Indicadores[[#This Row],[Activos totales]],0)</f>
        <v>1.5669710609505814</v>
      </c>
    </row>
    <row r="743" spans="1:17" hidden="1" x14ac:dyDescent="0.35">
      <c r="A743" s="13" t="str">
        <f>MID(Indicadores[[#This Row],[CIIU]],2,4)</f>
        <v>6421</v>
      </c>
      <c r="B743" s="13" t="str">
        <f>Indicadores[[#This Row],[CIIU]]&amp;Indicadores[[#This Row],[Año]]</f>
        <v>K64212017</v>
      </c>
      <c r="C743" s="14" t="s">
        <v>3166</v>
      </c>
      <c r="D743" s="14" t="s">
        <v>3167</v>
      </c>
      <c r="E743" s="848">
        <v>2017</v>
      </c>
      <c r="F743" s="849" t="s">
        <v>3171</v>
      </c>
      <c r="G743" s="693" t="s">
        <v>3172</v>
      </c>
      <c r="H743" s="848" t="s">
        <v>3173</v>
      </c>
      <c r="I743" s="693" t="s">
        <v>3172</v>
      </c>
      <c r="J743" s="847">
        <v>1072193</v>
      </c>
      <c r="K743" s="847">
        <v>1126062</v>
      </c>
      <c r="L743" s="841">
        <v>5468515</v>
      </c>
      <c r="M743" s="847">
        <v>5976088</v>
      </c>
      <c r="N743" s="839">
        <f>Indicadores[[#This Row],[Ventas]]/Indicadores[[#This Row],[Activos totales]]</f>
        <v>1.0928173370649985</v>
      </c>
      <c r="O743" s="837">
        <f>IF(Indicadores[[#This Row],[Ventas]]=0,0,Indicadores[[#This Row],[EBITDA]]/Indicadores[[#This Row],[Ventas]])</f>
        <v>0.18842794818282463</v>
      </c>
      <c r="P743" s="837">
        <f>IF(Indicadores[[#This Row],[Ventas]]=0,0,Indicadores[[#This Row],[UAI]]/Indicadores[[#This Row],[Ventas]])</f>
        <v>0.17941385735953019</v>
      </c>
      <c r="Q743" s="837">
        <f>IFERROR(Indicadores[[#This Row],[Ventas]]/Indicadores[[#This Row],[Activos totales]],0)</f>
        <v>1.0928173370649985</v>
      </c>
    </row>
    <row r="744" spans="1:17" hidden="1" x14ac:dyDescent="0.35">
      <c r="A744" s="13" t="str">
        <f>MID(Indicadores[[#This Row],[CIIU]],2,4)</f>
        <v>6422</v>
      </c>
      <c r="B744" s="13" t="str">
        <f>Indicadores[[#This Row],[CIIU]]&amp;Indicadores[[#This Row],[Año]]</f>
        <v>K64222017</v>
      </c>
      <c r="C744" s="14" t="s">
        <v>3166</v>
      </c>
      <c r="D744" s="14" t="s">
        <v>3167</v>
      </c>
      <c r="E744" s="848">
        <v>2017</v>
      </c>
      <c r="F744" s="849" t="s">
        <v>3174</v>
      </c>
      <c r="G744" s="838" t="s">
        <v>3175</v>
      </c>
      <c r="H744" s="848" t="s">
        <v>3176</v>
      </c>
      <c r="I744" s="693" t="s">
        <v>3175</v>
      </c>
      <c r="J744" s="847">
        <v>118107</v>
      </c>
      <c r="K744" s="847">
        <v>456864</v>
      </c>
      <c r="L744" s="841">
        <v>7919295</v>
      </c>
      <c r="M744" s="847">
        <v>2334543</v>
      </c>
      <c r="N744" s="839">
        <f>Indicadores[[#This Row],[Ventas]]/Indicadores[[#This Row],[Activos totales]]</f>
        <v>0.2947917712372124</v>
      </c>
      <c r="O744" s="837">
        <f>IF(Indicadores[[#This Row],[Ventas]]=0,0,Indicadores[[#This Row],[EBITDA]]/Indicadores[[#This Row],[Ventas]])</f>
        <v>0.19569740201829652</v>
      </c>
      <c r="P744" s="837">
        <f>IF(Indicadores[[#This Row],[Ventas]]=0,0,Indicadores[[#This Row],[UAI]]/Indicadores[[#This Row],[Ventas]])</f>
        <v>5.0591057864429995E-2</v>
      </c>
      <c r="Q744" s="837">
        <f>IFERROR(Indicadores[[#This Row],[Ventas]]/Indicadores[[#This Row],[Activos totales]],0)</f>
        <v>0.2947917712372124</v>
      </c>
    </row>
    <row r="745" spans="1:17" hidden="1" x14ac:dyDescent="0.35">
      <c r="A745" s="13" t="str">
        <f>MID(Indicadores[[#This Row],[CIIU]],2,4)</f>
        <v>6423</v>
      </c>
      <c r="B745" s="13" t="str">
        <f>Indicadores[[#This Row],[CIIU]]&amp;Indicadores[[#This Row],[Año]]</f>
        <v>K64232017</v>
      </c>
      <c r="C745" s="14" t="s">
        <v>3166</v>
      </c>
      <c r="D745" s="14" t="s">
        <v>3167</v>
      </c>
      <c r="E745" s="848">
        <v>2017</v>
      </c>
      <c r="F745" s="849" t="s">
        <v>3177</v>
      </c>
      <c r="G745" s="838" t="e">
        <v>#N/A</v>
      </c>
      <c r="H745" s="848" t="s">
        <v>3178</v>
      </c>
      <c r="I745" s="693" t="s">
        <v>3179</v>
      </c>
      <c r="J745" s="847">
        <v>593632</v>
      </c>
      <c r="K745" s="847">
        <v>748421</v>
      </c>
      <c r="L745" s="841">
        <v>17571625</v>
      </c>
      <c r="M745" s="847">
        <v>750968</v>
      </c>
      <c r="N745" s="839">
        <f>Indicadores[[#This Row],[Ventas]]/Indicadores[[#This Row],[Activos totales]]</f>
        <v>4.273753850312649E-2</v>
      </c>
      <c r="O745" s="837">
        <f>IF(Indicadores[[#This Row],[Ventas]]=0,0,Indicadores[[#This Row],[EBITDA]]/Indicadores[[#This Row],[Ventas]])</f>
        <v>0.99660837745416586</v>
      </c>
      <c r="P745" s="837">
        <f>IF(Indicadores[[#This Row],[Ventas]]=0,0,Indicadores[[#This Row],[UAI]]/Indicadores[[#This Row],[Ventas]])</f>
        <v>0.79048907543330738</v>
      </c>
      <c r="Q745" s="837">
        <f>IFERROR(Indicadores[[#This Row],[Ventas]]/Indicadores[[#This Row],[Activos totales]],0)</f>
        <v>4.273753850312649E-2</v>
      </c>
    </row>
    <row r="746" spans="1:17" hidden="1" x14ac:dyDescent="0.35">
      <c r="A746" s="13" t="str">
        <f>MID(Indicadores[[#This Row],[CIIU]],2,4)</f>
        <v>6424</v>
      </c>
      <c r="B746" s="13" t="str">
        <f>Indicadores[[#This Row],[CIIU]]&amp;Indicadores[[#This Row],[Año]]</f>
        <v>K64242017</v>
      </c>
      <c r="C746" s="14" t="s">
        <v>3166</v>
      </c>
      <c r="D746" s="14" t="s">
        <v>3167</v>
      </c>
      <c r="E746" s="848">
        <v>2017</v>
      </c>
      <c r="F746" s="849" t="s">
        <v>3180</v>
      </c>
      <c r="G746" s="693" t="s">
        <v>3181</v>
      </c>
      <c r="H746" s="848" t="s">
        <v>3182</v>
      </c>
      <c r="I746" s="693" t="s">
        <v>3181</v>
      </c>
      <c r="J746" s="847">
        <v>62781</v>
      </c>
      <c r="K746" s="847">
        <v>81941</v>
      </c>
      <c r="L746" s="841">
        <v>2951642</v>
      </c>
      <c r="M746" s="847">
        <v>750755</v>
      </c>
      <c r="N746" s="839">
        <f>Indicadores[[#This Row],[Ventas]]/Indicadores[[#This Row],[Activos totales]]</f>
        <v>0.2543516456264005</v>
      </c>
      <c r="O746" s="837">
        <f>IF(Indicadores[[#This Row],[Ventas]]=0,0,Indicadores[[#This Row],[EBITDA]]/Indicadores[[#This Row],[Ventas]])</f>
        <v>0.1091447942404646</v>
      </c>
      <c r="P746" s="837">
        <f>IF(Indicadores[[#This Row],[Ventas]]=0,0,Indicadores[[#This Row],[UAI]]/Indicadores[[#This Row],[Ventas]])</f>
        <v>8.3623818689186225E-2</v>
      </c>
      <c r="Q746" s="837">
        <f>IFERROR(Indicadores[[#This Row],[Ventas]]/Indicadores[[#This Row],[Activos totales]],0)</f>
        <v>0.2543516456264005</v>
      </c>
    </row>
    <row r="747" spans="1:17" hidden="1" x14ac:dyDescent="0.35">
      <c r="A747" s="13" t="str">
        <f>MID(Indicadores[[#This Row],[CIIU]],2,4)</f>
        <v>6431</v>
      </c>
      <c r="B747" s="13" t="str">
        <f>Indicadores[[#This Row],[CIIU]]&amp;Indicadores[[#This Row],[Año]]</f>
        <v>K64312017</v>
      </c>
      <c r="C747" s="14" t="s">
        <v>3166</v>
      </c>
      <c r="D747" s="14" t="s">
        <v>3167</v>
      </c>
      <c r="E747" s="848">
        <v>2017</v>
      </c>
      <c r="F747" s="849" t="s">
        <v>3183</v>
      </c>
      <c r="G747" s="838" t="s">
        <v>3184</v>
      </c>
      <c r="H747" s="848" t="s">
        <v>3185</v>
      </c>
      <c r="I747" s="693" t="s">
        <v>3184</v>
      </c>
      <c r="J747" s="847">
        <v>1314046</v>
      </c>
      <c r="K747" s="847">
        <v>846214</v>
      </c>
      <c r="L747" s="841">
        <v>26762990</v>
      </c>
      <c r="M747" s="847">
        <v>1875394</v>
      </c>
      <c r="N747" s="839">
        <f>Indicadores[[#This Row],[Ventas]]/Indicadores[[#This Row],[Activos totales]]</f>
        <v>7.0074158380659265E-2</v>
      </c>
      <c r="O747" s="837">
        <f>IF(Indicadores[[#This Row],[Ventas]]=0,0,Indicadores[[#This Row],[EBITDA]]/Indicadores[[#This Row],[Ventas]])</f>
        <v>0.45121931711416374</v>
      </c>
      <c r="P747" s="837">
        <f>IF(Indicadores[[#This Row],[Ventas]]=0,0,Indicadores[[#This Row],[UAI]]/Indicadores[[#This Row],[Ventas]])</f>
        <v>0.70067729767718145</v>
      </c>
      <c r="Q747" s="837">
        <f>IFERROR(Indicadores[[#This Row],[Ventas]]/Indicadores[[#This Row],[Activos totales]],0)</f>
        <v>7.0074158380659265E-2</v>
      </c>
    </row>
    <row r="748" spans="1:17" hidden="1" x14ac:dyDescent="0.35">
      <c r="A748" s="13" t="str">
        <f>MID(Indicadores[[#This Row],[CIIU]],2,4)</f>
        <v>6492</v>
      </c>
      <c r="B748" s="13" t="str">
        <f>Indicadores[[#This Row],[CIIU]]&amp;Indicadores[[#This Row],[Año]]</f>
        <v>K64922017</v>
      </c>
      <c r="C748" s="14" t="s">
        <v>3166</v>
      </c>
      <c r="D748" s="14" t="s">
        <v>3167</v>
      </c>
      <c r="E748" s="848">
        <v>2017</v>
      </c>
      <c r="F748" s="849" t="s">
        <v>3186</v>
      </c>
      <c r="G748" s="838" t="e">
        <v>#N/A</v>
      </c>
      <c r="H748" s="848" t="s">
        <v>3187</v>
      </c>
      <c r="I748" s="693" t="s">
        <v>3188</v>
      </c>
      <c r="J748" s="847">
        <v>113511</v>
      </c>
      <c r="K748" s="847">
        <v>237245</v>
      </c>
      <c r="L748" s="841">
        <v>10535862</v>
      </c>
      <c r="M748" s="847">
        <v>1902062</v>
      </c>
      <c r="N748" s="839">
        <f>Indicadores[[#This Row],[Ventas]]/Indicadores[[#This Row],[Activos totales]]</f>
        <v>0.18053216718290349</v>
      </c>
      <c r="O748" s="837">
        <f>IF(Indicadores[[#This Row],[Ventas]]=0,0,Indicadores[[#This Row],[EBITDA]]/Indicadores[[#This Row],[Ventas]])</f>
        <v>0.12473042413969682</v>
      </c>
      <c r="P748" s="837">
        <f>IF(Indicadores[[#This Row],[Ventas]]=0,0,Indicadores[[#This Row],[UAI]]/Indicadores[[#This Row],[Ventas]])</f>
        <v>5.9677865390297478E-2</v>
      </c>
      <c r="Q748" s="837">
        <f>IFERROR(Indicadores[[#This Row],[Ventas]]/Indicadores[[#This Row],[Activos totales]],0)</f>
        <v>0.18053216718290349</v>
      </c>
    </row>
    <row r="749" spans="1:17" hidden="1" x14ac:dyDescent="0.35">
      <c r="A749" s="13" t="str">
        <f>MID(Indicadores[[#This Row],[CIIU]],2,4)</f>
        <v>6493</v>
      </c>
      <c r="B749" s="13" t="str">
        <f>Indicadores[[#This Row],[CIIU]]&amp;Indicadores[[#This Row],[Año]]</f>
        <v>K64932017</v>
      </c>
      <c r="C749" s="14" t="s">
        <v>3166</v>
      </c>
      <c r="D749" s="14" t="s">
        <v>3167</v>
      </c>
      <c r="E749" s="848">
        <v>2017</v>
      </c>
      <c r="F749" s="849" t="s">
        <v>3189</v>
      </c>
      <c r="G749" s="693" t="s">
        <v>3190</v>
      </c>
      <c r="H749" s="848" t="s">
        <v>3191</v>
      </c>
      <c r="I749" s="693" t="s">
        <v>3190</v>
      </c>
      <c r="J749" s="847">
        <v>24053022</v>
      </c>
      <c r="K749" s="847">
        <v>88344818</v>
      </c>
      <c r="L749" s="841">
        <v>1894501051</v>
      </c>
      <c r="M749" s="847">
        <v>347793747</v>
      </c>
      <c r="N749" s="839">
        <f>Indicadores[[#This Row],[Ventas]]/Indicadores[[#This Row],[Activos totales]]</f>
        <v>0.18358065666757975</v>
      </c>
      <c r="O749" s="837">
        <f>IF(Indicadores[[#This Row],[Ventas]]=0,0,Indicadores[[#This Row],[EBITDA]]/Indicadores[[#This Row],[Ventas]])</f>
        <v>0.25401496939506507</v>
      </c>
      <c r="P749" s="837">
        <f>IF(Indicadores[[#This Row],[Ventas]]=0,0,Indicadores[[#This Row],[UAI]]/Indicadores[[#This Row],[Ventas]])</f>
        <v>6.9158868460047387E-2</v>
      </c>
      <c r="Q749" s="837">
        <f>IFERROR(Indicadores[[#This Row],[Ventas]]/Indicadores[[#This Row],[Activos totales]],0)</f>
        <v>0.18358065666757975</v>
      </c>
    </row>
    <row r="750" spans="1:17" hidden="1" x14ac:dyDescent="0.35">
      <c r="A750" s="13" t="str">
        <f>MID(Indicadores[[#This Row],[CIIU]],2,4)</f>
        <v>6494</v>
      </c>
      <c r="B750" s="13" t="str">
        <f>Indicadores[[#This Row],[CIIU]]&amp;Indicadores[[#This Row],[Año]]</f>
        <v>K64942017</v>
      </c>
      <c r="C750" s="14" t="s">
        <v>3166</v>
      </c>
      <c r="D750" s="14" t="s">
        <v>3167</v>
      </c>
      <c r="E750" s="848">
        <v>2017</v>
      </c>
      <c r="F750" s="849" t="s">
        <v>3192</v>
      </c>
      <c r="G750" s="693" t="s">
        <v>3193</v>
      </c>
      <c r="H750" s="848" t="s">
        <v>3194</v>
      </c>
      <c r="I750" s="693" t="s">
        <v>3193</v>
      </c>
      <c r="J750" s="847">
        <v>1981445827</v>
      </c>
      <c r="K750" s="847">
        <v>953573065</v>
      </c>
      <c r="L750" s="841">
        <v>57166156003</v>
      </c>
      <c r="M750" s="847">
        <v>1339195043</v>
      </c>
      <c r="N750" s="839">
        <f>Indicadores[[#This Row],[Ventas]]/Indicadores[[#This Row],[Activos totales]]</f>
        <v>2.3426361620846447E-2</v>
      </c>
      <c r="O750" s="837">
        <f>IF(Indicadores[[#This Row],[Ventas]]=0,0,Indicadores[[#This Row],[EBITDA]]/Indicadores[[#This Row],[Ventas]])</f>
        <v>0.7120494284864225</v>
      </c>
      <c r="P750" s="837">
        <f>IF(Indicadores[[#This Row],[Ventas]]=0,0,Indicadores[[#This Row],[UAI]]/Indicadores[[#This Row],[Ventas]])</f>
        <v>1.4795797201886747</v>
      </c>
      <c r="Q750" s="837">
        <f>IFERROR(Indicadores[[#This Row],[Ventas]]/Indicadores[[#This Row],[Activos totales]],0)</f>
        <v>2.3426361620846447E-2</v>
      </c>
    </row>
    <row r="751" spans="1:17" hidden="1" x14ac:dyDescent="0.35">
      <c r="A751" s="13" t="str">
        <f>MID(Indicadores[[#This Row],[CIIU]],2,4)</f>
        <v>6495</v>
      </c>
      <c r="B751" s="13" t="str">
        <f>Indicadores[[#This Row],[CIIU]]&amp;Indicadores[[#This Row],[Año]]</f>
        <v>K64952017</v>
      </c>
      <c r="C751" s="14" t="s">
        <v>3166</v>
      </c>
      <c r="D751" s="14" t="s">
        <v>3167</v>
      </c>
      <c r="E751" s="848">
        <v>2017</v>
      </c>
      <c r="F751" s="849" t="s">
        <v>3195</v>
      </c>
      <c r="G751" s="838" t="s">
        <v>3196</v>
      </c>
      <c r="H751" s="848" t="s">
        <v>3197</v>
      </c>
      <c r="I751" s="693" t="s">
        <v>3196</v>
      </c>
      <c r="J751" s="847">
        <v>-701935</v>
      </c>
      <c r="K751" s="847">
        <v>6801228</v>
      </c>
      <c r="L751" s="841">
        <v>103244338</v>
      </c>
      <c r="M751" s="847">
        <v>11580609</v>
      </c>
      <c r="N751" s="839">
        <f>Indicadores[[#This Row],[Ventas]]/Indicadores[[#This Row],[Activos totales]]</f>
        <v>0.11216701297460012</v>
      </c>
      <c r="O751" s="837">
        <f>IF(Indicadores[[#This Row],[Ventas]]=0,0,Indicadores[[#This Row],[EBITDA]]/Indicadores[[#This Row],[Ventas]])</f>
        <v>0.58729450238756875</v>
      </c>
      <c r="P751" s="837">
        <f>IF(Indicadores[[#This Row],[Ventas]]=0,0,Indicadores[[#This Row],[UAI]]/Indicadores[[#This Row],[Ventas]])</f>
        <v>-6.0612960855512869E-2</v>
      </c>
      <c r="Q751" s="837">
        <f>IFERROR(Indicadores[[#This Row],[Ventas]]/Indicadores[[#This Row],[Activos totales]],0)</f>
        <v>0.11216701297460012</v>
      </c>
    </row>
    <row r="752" spans="1:17" hidden="1" x14ac:dyDescent="0.35">
      <c r="A752" s="13" t="str">
        <f>MID(Indicadores[[#This Row],[CIIU]],2,4)</f>
        <v>6499</v>
      </c>
      <c r="B752" s="13" t="str">
        <f>Indicadores[[#This Row],[CIIU]]&amp;Indicadores[[#This Row],[Año]]</f>
        <v>K64992017</v>
      </c>
      <c r="C752" s="14" t="s">
        <v>3166</v>
      </c>
      <c r="D752" s="14" t="s">
        <v>3167</v>
      </c>
      <c r="E752" s="848">
        <v>2017</v>
      </c>
      <c r="F752" s="849" t="s">
        <v>3198</v>
      </c>
      <c r="G752" s="693" t="s">
        <v>3199</v>
      </c>
      <c r="H752" s="848" t="s">
        <v>3200</v>
      </c>
      <c r="I752" s="693" t="s">
        <v>3199</v>
      </c>
      <c r="J752" s="847">
        <v>1736904188.01</v>
      </c>
      <c r="K752" s="847">
        <v>2026118215.6199999</v>
      </c>
      <c r="L752" s="841">
        <v>27956845145.619999</v>
      </c>
      <c r="M752" s="847">
        <v>2831412600.6199999</v>
      </c>
      <c r="N752" s="839">
        <f>Indicadores[[#This Row],[Ventas]]/Indicadores[[#This Row],[Activos totales]]</f>
        <v>0.10127797274234276</v>
      </c>
      <c r="O752" s="837">
        <f>IF(Indicadores[[#This Row],[Ventas]]=0,0,Indicadores[[#This Row],[EBITDA]]/Indicadores[[#This Row],[Ventas]])</f>
        <v>0.71558564625174614</v>
      </c>
      <c r="P752" s="837">
        <f>IF(Indicadores[[#This Row],[Ventas]]=0,0,Indicadores[[#This Row],[UAI]]/Indicadores[[#This Row],[Ventas]])</f>
        <v>0.6134408625679163</v>
      </c>
      <c r="Q752" s="837">
        <f>IFERROR(Indicadores[[#This Row],[Ventas]]/Indicadores[[#This Row],[Activos totales]],0)</f>
        <v>0.10127797274234276</v>
      </c>
    </row>
    <row r="753" spans="1:17" hidden="1" x14ac:dyDescent="0.35">
      <c r="A753" s="13" t="str">
        <f>MID(Indicadores[[#This Row],[CIIU]],2,4)</f>
        <v>6511</v>
      </c>
      <c r="B753" s="13" t="str">
        <f>Indicadores[[#This Row],[CIIU]]&amp;Indicadores[[#This Row],[Año]]</f>
        <v>K65112017</v>
      </c>
      <c r="C753" s="14" t="s">
        <v>3166</v>
      </c>
      <c r="D753" s="14" t="s">
        <v>3201</v>
      </c>
      <c r="E753" s="848">
        <v>2017</v>
      </c>
      <c r="F753" s="849" t="s">
        <v>3202</v>
      </c>
      <c r="G753" s="838" t="s">
        <v>3203</v>
      </c>
      <c r="H753" s="848" t="s">
        <v>3204</v>
      </c>
      <c r="I753" s="693" t="s">
        <v>3205</v>
      </c>
      <c r="J753" s="847">
        <v>369019</v>
      </c>
      <c r="K753" s="847">
        <v>496277</v>
      </c>
      <c r="L753" s="841">
        <v>14074546</v>
      </c>
      <c r="M753" s="847">
        <v>1224439</v>
      </c>
      <c r="N753" s="839">
        <f>Indicadores[[#This Row],[Ventas]]/Indicadores[[#This Row],[Activos totales]]</f>
        <v>8.6996696021313935E-2</v>
      </c>
      <c r="O753" s="837">
        <f>IF(Indicadores[[#This Row],[Ventas]]=0,0,Indicadores[[#This Row],[EBITDA]]/Indicadores[[#This Row],[Ventas]])</f>
        <v>0.40530969693059432</v>
      </c>
      <c r="P753" s="837">
        <f>IF(Indicadores[[#This Row],[Ventas]]=0,0,Indicadores[[#This Row],[UAI]]/Indicadores[[#This Row],[Ventas]])</f>
        <v>0.30137801883148119</v>
      </c>
      <c r="Q753" s="837">
        <f>IFERROR(Indicadores[[#This Row],[Ventas]]/Indicadores[[#This Row],[Activos totales]],0)</f>
        <v>8.6996696021313935E-2</v>
      </c>
    </row>
    <row r="754" spans="1:17" hidden="1" x14ac:dyDescent="0.35">
      <c r="A754" s="13" t="str">
        <f>MID(Indicadores[[#This Row],[CIIU]],2,4)</f>
        <v>6514</v>
      </c>
      <c r="B754" s="13" t="str">
        <f>Indicadores[[#This Row],[CIIU]]&amp;Indicadores[[#This Row],[Año]]</f>
        <v>K65142017</v>
      </c>
      <c r="C754" s="14" t="s">
        <v>3166</v>
      </c>
      <c r="D754" s="14" t="s">
        <v>3201</v>
      </c>
      <c r="E754" s="848">
        <v>2017</v>
      </c>
      <c r="F754" s="849" t="s">
        <v>3206</v>
      </c>
      <c r="G754" s="693" t="s">
        <v>3207</v>
      </c>
      <c r="H754" s="848" t="s">
        <v>3208</v>
      </c>
      <c r="I754" s="693" t="s">
        <v>3207</v>
      </c>
      <c r="J754" s="847">
        <v>2643307</v>
      </c>
      <c r="K754" s="847">
        <v>2802685</v>
      </c>
      <c r="L754" s="841">
        <v>202586793</v>
      </c>
      <c r="M754" s="847">
        <v>19353219</v>
      </c>
      <c r="N754" s="839">
        <f>Indicadores[[#This Row],[Ventas]]/Indicadores[[#This Row],[Activos totales]]</f>
        <v>9.5530506769017268E-2</v>
      </c>
      <c r="O754" s="837">
        <f>IF(Indicadores[[#This Row],[Ventas]]=0,0,Indicadores[[#This Row],[EBITDA]]/Indicadores[[#This Row],[Ventas]])</f>
        <v>0.14481751072005128</v>
      </c>
      <c r="P754" s="837">
        <f>IF(Indicadores[[#This Row],[Ventas]]=0,0,Indicadores[[#This Row],[UAI]]/Indicadores[[#This Row],[Ventas]])</f>
        <v>0.13658229155573551</v>
      </c>
      <c r="Q754" s="837">
        <f>IFERROR(Indicadores[[#This Row],[Ventas]]/Indicadores[[#This Row],[Activos totales]],0)</f>
        <v>9.5530506769017268E-2</v>
      </c>
    </row>
    <row r="755" spans="1:17" hidden="1" x14ac:dyDescent="0.35">
      <c r="A755" s="13" t="str">
        <f>MID(Indicadores[[#This Row],[CIIU]],2,4)</f>
        <v>6521</v>
      </c>
      <c r="B755" s="13" t="str">
        <f>Indicadores[[#This Row],[CIIU]]&amp;Indicadores[[#This Row],[Año]]</f>
        <v>K65212017</v>
      </c>
      <c r="C755" s="14" t="s">
        <v>3166</v>
      </c>
      <c r="D755" s="14" t="s">
        <v>3201</v>
      </c>
      <c r="E755" s="848">
        <v>2017</v>
      </c>
      <c r="F755" s="849" t="s">
        <v>3209</v>
      </c>
      <c r="G755" s="693" t="s">
        <v>3210</v>
      </c>
      <c r="H755" s="848" t="s">
        <v>3211</v>
      </c>
      <c r="I755" s="693" t="s">
        <v>3210</v>
      </c>
      <c r="J755" s="847">
        <v>235821</v>
      </c>
      <c r="K755" s="847">
        <v>274793</v>
      </c>
      <c r="L755" s="841">
        <v>801025</v>
      </c>
      <c r="M755" s="847">
        <v>1966537</v>
      </c>
      <c r="N755" s="839">
        <f>Indicadores[[#This Row],[Ventas]]/Indicadores[[#This Row],[Activos totales]]</f>
        <v>2.4550257482600419</v>
      </c>
      <c r="O755" s="837">
        <f>IF(Indicadores[[#This Row],[Ventas]]=0,0,Indicadores[[#This Row],[EBITDA]]/Indicadores[[#This Row],[Ventas]])</f>
        <v>0.13973446723860269</v>
      </c>
      <c r="P755" s="837">
        <f>IF(Indicadores[[#This Row],[Ventas]]=0,0,Indicadores[[#This Row],[UAI]]/Indicadores[[#This Row],[Ventas]])</f>
        <v>0.1199168894355916</v>
      </c>
      <c r="Q755" s="837">
        <f>IFERROR(Indicadores[[#This Row],[Ventas]]/Indicadores[[#This Row],[Activos totales]],0)</f>
        <v>2.4550257482600419</v>
      </c>
    </row>
    <row r="756" spans="1:17" hidden="1" x14ac:dyDescent="0.35">
      <c r="A756" s="13" t="str">
        <f>MID(Indicadores[[#This Row],[CIIU]],2,4)</f>
        <v>6532</v>
      </c>
      <c r="B756" s="13" t="str">
        <f>Indicadores[[#This Row],[CIIU]]&amp;Indicadores[[#This Row],[Año]]</f>
        <v>K65322017</v>
      </c>
      <c r="C756" s="14" t="s">
        <v>3166</v>
      </c>
      <c r="D756" s="14" t="s">
        <v>3201</v>
      </c>
      <c r="E756" s="848">
        <v>2017</v>
      </c>
      <c r="F756" s="849" t="s">
        <v>3215</v>
      </c>
      <c r="G756" s="838" t="e">
        <v>#N/A</v>
      </c>
      <c r="H756" s="848" t="s">
        <v>3216</v>
      </c>
      <c r="I756" s="693" t="s">
        <v>3217</v>
      </c>
      <c r="J756" s="847">
        <v>438218</v>
      </c>
      <c r="K756" s="847">
        <v>449316</v>
      </c>
      <c r="L756" s="841">
        <v>7786220</v>
      </c>
      <c r="M756" s="847">
        <v>170479</v>
      </c>
      <c r="N756" s="839">
        <f>Indicadores[[#This Row],[Ventas]]/Indicadores[[#This Row],[Activos totales]]</f>
        <v>2.1894963152852089E-2</v>
      </c>
      <c r="O756" s="837">
        <f>IF(Indicadores[[#This Row],[Ventas]]=0,0,Indicadores[[#This Row],[EBITDA]]/Indicadores[[#This Row],[Ventas]])</f>
        <v>2.6356090779509498</v>
      </c>
      <c r="P756" s="837">
        <f>IF(Indicadores[[#This Row],[Ventas]]=0,0,Indicadores[[#This Row],[UAI]]/Indicadores[[#This Row],[Ventas]])</f>
        <v>2.5705101508103638</v>
      </c>
      <c r="Q756" s="837">
        <f>IFERROR(Indicadores[[#This Row],[Ventas]]/Indicadores[[#This Row],[Activos totales]],0)</f>
        <v>2.1894963152852089E-2</v>
      </c>
    </row>
    <row r="757" spans="1:17" hidden="1" x14ac:dyDescent="0.35">
      <c r="A757" s="13" t="str">
        <f>MID(Indicadores[[#This Row],[CIIU]],2,4)</f>
        <v>6611</v>
      </c>
      <c r="B757" s="13" t="str">
        <f>Indicadores[[#This Row],[CIIU]]&amp;Indicadores[[#This Row],[Año]]</f>
        <v>K66112017</v>
      </c>
      <c r="C757" s="14" t="s">
        <v>3166</v>
      </c>
      <c r="D757" s="14" t="s">
        <v>3218</v>
      </c>
      <c r="E757" s="848">
        <v>2017</v>
      </c>
      <c r="F757" s="849" t="s">
        <v>3219</v>
      </c>
      <c r="G757" s="693" t="s">
        <v>3220</v>
      </c>
      <c r="H757" s="848" t="s">
        <v>3221</v>
      </c>
      <c r="I757" s="693" t="s">
        <v>3220</v>
      </c>
      <c r="J757" s="847">
        <v>10731973</v>
      </c>
      <c r="K757" s="847">
        <v>11336867</v>
      </c>
      <c r="L757" s="841">
        <v>85712575</v>
      </c>
      <c r="M757" s="847">
        <v>9207786</v>
      </c>
      <c r="N757" s="839">
        <f>Indicadores[[#This Row],[Ventas]]/Indicadores[[#This Row],[Activos totales]]</f>
        <v>0.10742631405018459</v>
      </c>
      <c r="O757" s="837">
        <f>IF(Indicadores[[#This Row],[Ventas]]=0,0,Indicadores[[#This Row],[EBITDA]]/Indicadores[[#This Row],[Ventas]])</f>
        <v>1.2312261601214451</v>
      </c>
      <c r="P757" s="837">
        <f>IF(Indicadores[[#This Row],[Ventas]]=0,0,Indicadores[[#This Row],[UAI]]/Indicadores[[#This Row],[Ventas]])</f>
        <v>1.165532409202386</v>
      </c>
      <c r="Q757" s="837">
        <f>IFERROR(Indicadores[[#This Row],[Ventas]]/Indicadores[[#This Row],[Activos totales]],0)</f>
        <v>0.10742631405018459</v>
      </c>
    </row>
    <row r="758" spans="1:17" hidden="1" x14ac:dyDescent="0.35">
      <c r="A758" s="13" t="str">
        <f>MID(Indicadores[[#This Row],[CIIU]],2,4)</f>
        <v>6612</v>
      </c>
      <c r="B758" s="13" t="str">
        <f>Indicadores[[#This Row],[CIIU]]&amp;Indicadores[[#This Row],[Año]]</f>
        <v>K66122017</v>
      </c>
      <c r="C758" s="14" t="s">
        <v>3166</v>
      </c>
      <c r="D758" s="14" t="s">
        <v>3218</v>
      </c>
      <c r="E758" s="848">
        <v>2017</v>
      </c>
      <c r="F758" s="849" t="s">
        <v>3222</v>
      </c>
      <c r="G758" s="693" t="s">
        <v>3223</v>
      </c>
      <c r="H758" s="848" t="s">
        <v>3224</v>
      </c>
      <c r="I758" s="693" t="s">
        <v>3223</v>
      </c>
      <c r="J758" s="847">
        <v>270178</v>
      </c>
      <c r="K758" s="847">
        <v>281285</v>
      </c>
      <c r="L758" s="841">
        <v>1266333</v>
      </c>
      <c r="M758" s="847">
        <v>872656</v>
      </c>
      <c r="N758" s="839">
        <f>Indicadores[[#This Row],[Ventas]]/Indicadores[[#This Row],[Activos totales]]</f>
        <v>0.68912047620965422</v>
      </c>
      <c r="O758" s="837">
        <f>IF(Indicadores[[#This Row],[Ventas]]=0,0,Indicadores[[#This Row],[EBITDA]]/Indicadores[[#This Row],[Ventas]])</f>
        <v>0.32233205295099099</v>
      </c>
      <c r="P758" s="837">
        <f>IF(Indicadores[[#This Row],[Ventas]]=0,0,Indicadores[[#This Row],[UAI]]/Indicadores[[#This Row],[Ventas]])</f>
        <v>0.30960424267981884</v>
      </c>
      <c r="Q758" s="837">
        <f>IFERROR(Indicadores[[#This Row],[Ventas]]/Indicadores[[#This Row],[Activos totales]],0)</f>
        <v>0.68912047620965422</v>
      </c>
    </row>
    <row r="759" spans="1:17" hidden="1" x14ac:dyDescent="0.35">
      <c r="A759" s="13" t="str">
        <f>MID(Indicadores[[#This Row],[CIIU]],2,4)</f>
        <v>6613</v>
      </c>
      <c r="B759" s="13" t="str">
        <f>Indicadores[[#This Row],[CIIU]]&amp;Indicadores[[#This Row],[Año]]</f>
        <v>K66132017</v>
      </c>
      <c r="C759" s="14" t="s">
        <v>3166</v>
      </c>
      <c r="D759" s="14" t="s">
        <v>3218</v>
      </c>
      <c r="E759" s="848">
        <v>2017</v>
      </c>
      <c r="F759" s="849" t="s">
        <v>3225</v>
      </c>
      <c r="G759" s="693" t="s">
        <v>3226</v>
      </c>
      <c r="H759" s="848" t="s">
        <v>3227</v>
      </c>
      <c r="I759" s="693" t="s">
        <v>3226</v>
      </c>
      <c r="J759" s="847">
        <v>1517513570</v>
      </c>
      <c r="K759" s="847">
        <v>571931886</v>
      </c>
      <c r="L759" s="841">
        <v>48820344746</v>
      </c>
      <c r="M759" s="847">
        <v>1512033789</v>
      </c>
      <c r="N759" s="839">
        <f>Indicadores[[#This Row],[Ventas]]/Indicadores[[#This Row],[Activos totales]]</f>
        <v>3.0971386967190262E-2</v>
      </c>
      <c r="O759" s="837">
        <f>IF(Indicadores[[#This Row],[Ventas]]=0,0,Indicadores[[#This Row],[EBITDA]]/Indicadores[[#This Row],[Ventas]])</f>
        <v>0.37825337645281948</v>
      </c>
      <c r="P759" s="837">
        <f>IF(Indicadores[[#This Row],[Ventas]]=0,0,Indicadores[[#This Row],[UAI]]/Indicadores[[#This Row],[Ventas]])</f>
        <v>1.0036241127942147</v>
      </c>
      <c r="Q759" s="837">
        <f>IFERROR(Indicadores[[#This Row],[Ventas]]/Indicadores[[#This Row],[Activos totales]],0)</f>
        <v>3.0971386967190262E-2</v>
      </c>
    </row>
    <row r="760" spans="1:17" hidden="1" x14ac:dyDescent="0.35">
      <c r="A760" s="13" t="str">
        <f>MID(Indicadores[[#This Row],[CIIU]],2,4)</f>
        <v>6614</v>
      </c>
      <c r="B760" s="13" t="str">
        <f>Indicadores[[#This Row],[CIIU]]&amp;Indicadores[[#This Row],[Año]]</f>
        <v>K66142017</v>
      </c>
      <c r="C760" s="14" t="s">
        <v>3166</v>
      </c>
      <c r="D760" s="14" t="s">
        <v>3218</v>
      </c>
      <c r="E760" s="848">
        <v>2017</v>
      </c>
      <c r="F760" s="849" t="s">
        <v>3228</v>
      </c>
      <c r="G760" s="838" t="s">
        <v>3229</v>
      </c>
      <c r="H760" s="848" t="s">
        <v>3230</v>
      </c>
      <c r="I760" s="693" t="s">
        <v>3229</v>
      </c>
      <c r="J760" s="847">
        <v>2615415</v>
      </c>
      <c r="K760" s="847">
        <v>2587111</v>
      </c>
      <c r="L760" s="841">
        <v>116544803</v>
      </c>
      <c r="M760" s="847">
        <v>2612150</v>
      </c>
      <c r="N760" s="839">
        <f>Indicadores[[#This Row],[Ventas]]/Indicadores[[#This Row],[Activos totales]]</f>
        <v>2.2413268826753263E-2</v>
      </c>
      <c r="O760" s="837">
        <f>IF(Indicadores[[#This Row],[Ventas]]=0,0,Indicadores[[#This Row],[EBITDA]]/Indicadores[[#This Row],[Ventas]])</f>
        <v>0.99041440958597327</v>
      </c>
      <c r="P760" s="837">
        <f>IF(Indicadores[[#This Row],[Ventas]]=0,0,Indicadores[[#This Row],[UAI]]/Indicadores[[#This Row],[Ventas]])</f>
        <v>1.0012499282200487</v>
      </c>
      <c r="Q760" s="837">
        <f>IFERROR(Indicadores[[#This Row],[Ventas]]/Indicadores[[#This Row],[Activos totales]],0)</f>
        <v>2.2413268826753263E-2</v>
      </c>
    </row>
    <row r="761" spans="1:17" hidden="1" x14ac:dyDescent="0.35">
      <c r="A761" s="13" t="str">
        <f>MID(Indicadores[[#This Row],[CIIU]],2,4)</f>
        <v>6615</v>
      </c>
      <c r="B761" s="13" t="str">
        <f>Indicadores[[#This Row],[CIIU]]&amp;Indicadores[[#This Row],[Año]]</f>
        <v>K66152017</v>
      </c>
      <c r="C761" s="14" t="s">
        <v>3166</v>
      </c>
      <c r="D761" s="14" t="s">
        <v>3218</v>
      </c>
      <c r="E761" s="848">
        <v>2017</v>
      </c>
      <c r="F761" s="849" t="s">
        <v>3231</v>
      </c>
      <c r="G761" s="693" t="s">
        <v>3232</v>
      </c>
      <c r="H761" s="848" t="s">
        <v>3233</v>
      </c>
      <c r="I761" s="693" t="s">
        <v>3232</v>
      </c>
      <c r="J761" s="847">
        <v>4266783</v>
      </c>
      <c r="K761" s="847">
        <v>7070629</v>
      </c>
      <c r="L761" s="841">
        <v>50564955</v>
      </c>
      <c r="M761" s="847">
        <v>27065007</v>
      </c>
      <c r="N761" s="839">
        <f>Indicadores[[#This Row],[Ventas]]/Indicadores[[#This Row],[Activos totales]]</f>
        <v>0.53525227106402051</v>
      </c>
      <c r="O761" s="837">
        <f>IF(Indicadores[[#This Row],[Ventas]]=0,0,Indicadores[[#This Row],[EBITDA]]/Indicadores[[#This Row],[Ventas]])</f>
        <v>0.26124615449018729</v>
      </c>
      <c r="P761" s="837">
        <f>IF(Indicadores[[#This Row],[Ventas]]=0,0,Indicadores[[#This Row],[UAI]]/Indicadores[[#This Row],[Ventas]])</f>
        <v>0.15764943271583118</v>
      </c>
      <c r="Q761" s="837">
        <f>IFERROR(Indicadores[[#This Row],[Ventas]]/Indicadores[[#This Row],[Activos totales]],0)</f>
        <v>0.53525227106402051</v>
      </c>
    </row>
    <row r="762" spans="1:17" hidden="1" x14ac:dyDescent="0.35">
      <c r="A762" s="13" t="str">
        <f>MID(Indicadores[[#This Row],[CIIU]],2,4)</f>
        <v>6619</v>
      </c>
      <c r="B762" s="13" t="str">
        <f>Indicadores[[#This Row],[CIIU]]&amp;Indicadores[[#This Row],[Año]]</f>
        <v>K66192017</v>
      </c>
      <c r="C762" s="14" t="s">
        <v>3166</v>
      </c>
      <c r="D762" s="14" t="s">
        <v>3218</v>
      </c>
      <c r="E762" s="848">
        <v>2017</v>
      </c>
      <c r="F762" s="849" t="s">
        <v>3234</v>
      </c>
      <c r="G762" s="693" t="s">
        <v>3235</v>
      </c>
      <c r="H762" s="848" t="s">
        <v>3236</v>
      </c>
      <c r="I762" s="693" t="s">
        <v>3235</v>
      </c>
      <c r="J762" s="847">
        <v>210968107</v>
      </c>
      <c r="K762" s="847">
        <v>316154696</v>
      </c>
      <c r="L762" s="841">
        <v>4984075489</v>
      </c>
      <c r="M762" s="847">
        <v>1008142595</v>
      </c>
      <c r="N762" s="839">
        <f>Indicadores[[#This Row],[Ventas]]/Indicadores[[#This Row],[Activos totales]]</f>
        <v>0.20227273788789921</v>
      </c>
      <c r="O762" s="837">
        <f>IF(Indicadores[[#This Row],[Ventas]]=0,0,Indicadores[[#This Row],[EBITDA]]/Indicadores[[#This Row],[Ventas]])</f>
        <v>0.31360116869181587</v>
      </c>
      <c r="P762" s="837">
        <f>IF(Indicadores[[#This Row],[Ventas]]=0,0,Indicadores[[#This Row],[UAI]]/Indicadores[[#This Row],[Ventas]])</f>
        <v>0.20926415374801222</v>
      </c>
      <c r="Q762" s="837">
        <f>IFERROR(Indicadores[[#This Row],[Ventas]]/Indicadores[[#This Row],[Activos totales]],0)</f>
        <v>0.20227273788789921</v>
      </c>
    </row>
    <row r="763" spans="1:17" hidden="1" x14ac:dyDescent="0.35">
      <c r="A763" s="13" t="str">
        <f>MID(Indicadores[[#This Row],[CIIU]],2,4)</f>
        <v>6621</v>
      </c>
      <c r="B763" s="13" t="str">
        <f>Indicadores[[#This Row],[CIIU]]&amp;Indicadores[[#This Row],[Año]]</f>
        <v>K66212017</v>
      </c>
      <c r="C763" s="14" t="s">
        <v>3166</v>
      </c>
      <c r="D763" s="14" t="s">
        <v>3218</v>
      </c>
      <c r="E763" s="848">
        <v>2017</v>
      </c>
      <c r="F763" s="849" t="s">
        <v>3237</v>
      </c>
      <c r="G763" s="693" t="s">
        <v>3238</v>
      </c>
      <c r="H763" s="848" t="s">
        <v>3239</v>
      </c>
      <c r="I763" s="693" t="s">
        <v>3238</v>
      </c>
      <c r="J763" s="847">
        <v>15474842</v>
      </c>
      <c r="K763" s="847">
        <v>17348072</v>
      </c>
      <c r="L763" s="841">
        <v>73714329</v>
      </c>
      <c r="M763" s="847">
        <v>62413401</v>
      </c>
      <c r="N763" s="839">
        <f>Indicadores[[#This Row],[Ventas]]/Indicadores[[#This Row],[Activos totales]]</f>
        <v>0.84669292723264156</v>
      </c>
      <c r="O763" s="837">
        <f>IF(Indicadores[[#This Row],[Ventas]]=0,0,Indicadores[[#This Row],[EBITDA]]/Indicadores[[#This Row],[Ventas]])</f>
        <v>0.27795428100449132</v>
      </c>
      <c r="P763" s="837">
        <f>IF(Indicadores[[#This Row],[Ventas]]=0,0,Indicadores[[#This Row],[UAI]]/Indicadores[[#This Row],[Ventas]])</f>
        <v>0.24794101510347114</v>
      </c>
      <c r="Q763" s="837">
        <f>IFERROR(Indicadores[[#This Row],[Ventas]]/Indicadores[[#This Row],[Activos totales]],0)</f>
        <v>0.84669292723264156</v>
      </c>
    </row>
    <row r="764" spans="1:17" hidden="1" x14ac:dyDescent="0.35">
      <c r="A764" s="13" t="str">
        <f>MID(Indicadores[[#This Row],[CIIU]],2,4)</f>
        <v>6629</v>
      </c>
      <c r="B764" s="13" t="str">
        <f>Indicadores[[#This Row],[CIIU]]&amp;Indicadores[[#This Row],[Año]]</f>
        <v>K66292017</v>
      </c>
      <c r="C764" s="14" t="s">
        <v>3166</v>
      </c>
      <c r="D764" s="14" t="s">
        <v>3218</v>
      </c>
      <c r="E764" s="848">
        <v>2017</v>
      </c>
      <c r="F764" s="849" t="s">
        <v>3240</v>
      </c>
      <c r="G764" s="838" t="s">
        <v>3241</v>
      </c>
      <c r="H764" s="848" t="s">
        <v>3242</v>
      </c>
      <c r="I764" s="693" t="s">
        <v>3241</v>
      </c>
      <c r="J764" s="847">
        <v>4808527</v>
      </c>
      <c r="K764" s="847">
        <v>5075099</v>
      </c>
      <c r="L764" s="841">
        <v>28351761</v>
      </c>
      <c r="M764" s="847">
        <v>23119559</v>
      </c>
      <c r="N764" s="839">
        <f>Indicadores[[#This Row],[Ventas]]/Indicadores[[#This Row],[Activos totales]]</f>
        <v>0.81545407355825272</v>
      </c>
      <c r="O764" s="837">
        <f>IF(Indicadores[[#This Row],[Ventas]]=0,0,Indicadores[[#This Row],[EBITDA]]/Indicadores[[#This Row],[Ventas]])</f>
        <v>0.21951538954527636</v>
      </c>
      <c r="P764" s="837">
        <f>IF(Indicadores[[#This Row],[Ventas]]=0,0,Indicadores[[#This Row],[UAI]]/Indicadores[[#This Row],[Ventas]])</f>
        <v>0.20798523881878542</v>
      </c>
      <c r="Q764" s="837">
        <f>IFERROR(Indicadores[[#This Row],[Ventas]]/Indicadores[[#This Row],[Activos totales]],0)</f>
        <v>0.81545407355825272</v>
      </c>
    </row>
    <row r="765" spans="1:17" hidden="1" x14ac:dyDescent="0.35">
      <c r="A765" s="13" t="str">
        <f>MID(Indicadores[[#This Row],[CIIU]],2,4)</f>
        <v>6630</v>
      </c>
      <c r="B765" s="13" t="str">
        <f>Indicadores[[#This Row],[CIIU]]&amp;Indicadores[[#This Row],[Año]]</f>
        <v>K66302017</v>
      </c>
      <c r="C765" s="14" t="s">
        <v>3166</v>
      </c>
      <c r="D765" s="14" t="s">
        <v>3218</v>
      </c>
      <c r="E765" s="848">
        <v>2017</v>
      </c>
      <c r="F765" s="849" t="s">
        <v>3243</v>
      </c>
      <c r="G765" s="693" t="s">
        <v>3244</v>
      </c>
      <c r="H765" s="848" t="s">
        <v>3245</v>
      </c>
      <c r="I765" s="693" t="s">
        <v>3244</v>
      </c>
      <c r="J765" s="847">
        <v>27812680</v>
      </c>
      <c r="K765" s="847">
        <v>24626243</v>
      </c>
      <c r="L765" s="841">
        <v>215013817</v>
      </c>
      <c r="M765" s="847">
        <v>3224464</v>
      </c>
      <c r="N765" s="839">
        <f>Indicadores[[#This Row],[Ventas]]/Indicadores[[#This Row],[Activos totales]]</f>
        <v>1.499654322215023E-2</v>
      </c>
      <c r="O765" s="837">
        <f>IF(Indicadores[[#This Row],[Ventas]]=0,0,Indicadores[[#This Row],[EBITDA]]/Indicadores[[#This Row],[Ventas]])</f>
        <v>7.6373136744587624</v>
      </c>
      <c r="P765" s="837">
        <f>IF(Indicadores[[#This Row],[Ventas]]=0,0,Indicadores[[#This Row],[UAI]]/Indicadores[[#This Row],[Ventas]])</f>
        <v>8.6255203965682359</v>
      </c>
      <c r="Q765" s="837">
        <f>IFERROR(Indicadores[[#This Row],[Ventas]]/Indicadores[[#This Row],[Activos totales]],0)</f>
        <v>1.499654322215023E-2</v>
      </c>
    </row>
    <row r="766" spans="1:17" hidden="1" x14ac:dyDescent="0.35">
      <c r="A766" s="13" t="str">
        <f>MID(Indicadores[[#This Row],[CIIU]],2,4)</f>
        <v>6810</v>
      </c>
      <c r="B766" s="13" t="str">
        <f>Indicadores[[#This Row],[CIIU]]&amp;Indicadores[[#This Row],[Año]]</f>
        <v>L68102017</v>
      </c>
      <c r="C766" s="14" t="s">
        <v>3246</v>
      </c>
      <c r="D766" s="14" t="s">
        <v>3247</v>
      </c>
      <c r="E766" s="848">
        <v>2017</v>
      </c>
      <c r="F766" s="849" t="s">
        <v>3248</v>
      </c>
      <c r="G766" s="693" t="s">
        <v>3249</v>
      </c>
      <c r="H766" s="848" t="s">
        <v>3250</v>
      </c>
      <c r="I766" s="693" t="s">
        <v>3249</v>
      </c>
      <c r="J766" s="847">
        <v>2609516515.4700003</v>
      </c>
      <c r="K766" s="847">
        <v>3063670151.1900005</v>
      </c>
      <c r="L766" s="841">
        <v>62745122430.290001</v>
      </c>
      <c r="M766" s="847">
        <v>4536076715</v>
      </c>
      <c r="N766" s="839">
        <f>Indicadores[[#This Row],[Ventas]]/Indicadores[[#This Row],[Activos totales]]</f>
        <v>7.2293694542386044E-2</v>
      </c>
      <c r="O766" s="837">
        <f>IF(Indicadores[[#This Row],[Ventas]]=0,0,Indicadores[[#This Row],[EBITDA]]/Indicadores[[#This Row],[Ventas]])</f>
        <v>0.67540086812442734</v>
      </c>
      <c r="P766" s="837">
        <f>IF(Indicadores[[#This Row],[Ventas]]=0,0,Indicadores[[#This Row],[UAI]]/Indicadores[[#This Row],[Ventas]])</f>
        <v>0.57528050767765737</v>
      </c>
      <c r="Q766" s="837">
        <f>IFERROR(Indicadores[[#This Row],[Ventas]]/Indicadores[[#This Row],[Activos totales]],0)</f>
        <v>7.2293694542386044E-2</v>
      </c>
    </row>
    <row r="767" spans="1:17" hidden="1" x14ac:dyDescent="0.35">
      <c r="A767" s="13" t="str">
        <f>MID(Indicadores[[#This Row],[CIIU]],2,4)</f>
        <v>6820</v>
      </c>
      <c r="B767" s="13" t="str">
        <f>Indicadores[[#This Row],[CIIU]]&amp;Indicadores[[#This Row],[Año]]</f>
        <v>L68202017</v>
      </c>
      <c r="C767" s="14" t="s">
        <v>3246</v>
      </c>
      <c r="D767" s="14" t="s">
        <v>3247</v>
      </c>
      <c r="E767" s="848">
        <v>2017</v>
      </c>
      <c r="F767" s="849" t="s">
        <v>3251</v>
      </c>
      <c r="G767" s="693" t="s">
        <v>3252</v>
      </c>
      <c r="H767" s="848" t="s">
        <v>3253</v>
      </c>
      <c r="I767" s="693" t="s">
        <v>3254</v>
      </c>
      <c r="J767" s="847">
        <v>167353278</v>
      </c>
      <c r="K767" s="847">
        <v>252750994</v>
      </c>
      <c r="L767" s="841">
        <v>3793676666</v>
      </c>
      <c r="M767" s="847">
        <v>722514699</v>
      </c>
      <c r="N767" s="839">
        <f>Indicadores[[#This Row],[Ventas]]/Indicadores[[#This Row],[Activos totales]]</f>
        <v>0.1904523665591695</v>
      </c>
      <c r="O767" s="837">
        <f>IF(Indicadores[[#This Row],[Ventas]]=0,0,Indicadores[[#This Row],[EBITDA]]/Indicadores[[#This Row],[Ventas]])</f>
        <v>0.34982124841172263</v>
      </c>
      <c r="P767" s="837">
        <f>IF(Indicadores[[#This Row],[Ventas]]=0,0,Indicadores[[#This Row],[UAI]]/Indicadores[[#This Row],[Ventas]])</f>
        <v>0.23162612225277371</v>
      </c>
      <c r="Q767" s="837">
        <f>IFERROR(Indicadores[[#This Row],[Ventas]]/Indicadores[[#This Row],[Activos totales]],0)</f>
        <v>0.1904523665591695</v>
      </c>
    </row>
    <row r="768" spans="1:17" hidden="1" x14ac:dyDescent="0.35">
      <c r="A768" s="13" t="str">
        <f>MID(Indicadores[[#This Row],[CIIU]],2,4)</f>
        <v>6910</v>
      </c>
      <c r="B768" s="13" t="str">
        <f>Indicadores[[#This Row],[CIIU]]&amp;Indicadores[[#This Row],[Año]]</f>
        <v>M69102017</v>
      </c>
      <c r="C768" s="14" t="s">
        <v>3255</v>
      </c>
      <c r="D768" s="14" t="s">
        <v>3256</v>
      </c>
      <c r="E768" s="848">
        <v>2017</v>
      </c>
      <c r="F768" s="849" t="s">
        <v>3257</v>
      </c>
      <c r="G768" s="693" t="s">
        <v>3258</v>
      </c>
      <c r="H768" s="848" t="s">
        <v>3259</v>
      </c>
      <c r="I768" s="693" t="s">
        <v>3258</v>
      </c>
      <c r="J768" s="847">
        <v>222061613</v>
      </c>
      <c r="K768" s="847">
        <v>251966076</v>
      </c>
      <c r="L768" s="841">
        <v>866864498</v>
      </c>
      <c r="M768" s="847">
        <v>892105872</v>
      </c>
      <c r="N768" s="839">
        <f>Indicadores[[#This Row],[Ventas]]/Indicadores[[#This Row],[Activos totales]]</f>
        <v>1.0291180156278588</v>
      </c>
      <c r="O768" s="837">
        <f>IF(Indicadores[[#This Row],[Ventas]]=0,0,Indicadores[[#This Row],[EBITDA]]/Indicadores[[#This Row],[Ventas]])</f>
        <v>0.28243965644472296</v>
      </c>
      <c r="P768" s="837">
        <f>IF(Indicadores[[#This Row],[Ventas]]=0,0,Indicadores[[#This Row],[UAI]]/Indicadores[[#This Row],[Ventas]])</f>
        <v>0.24891845236055121</v>
      </c>
      <c r="Q768" s="837">
        <f>IFERROR(Indicadores[[#This Row],[Ventas]]/Indicadores[[#This Row],[Activos totales]],0)</f>
        <v>1.0291180156278588</v>
      </c>
    </row>
    <row r="769" spans="1:17" hidden="1" x14ac:dyDescent="0.35">
      <c r="A769" s="13" t="str">
        <f>MID(Indicadores[[#This Row],[CIIU]],2,4)</f>
        <v>6920</v>
      </c>
      <c r="B769" s="13" t="str">
        <f>Indicadores[[#This Row],[CIIU]]&amp;Indicadores[[#This Row],[Año]]</f>
        <v>M69202017</v>
      </c>
      <c r="C769" s="14" t="s">
        <v>3255</v>
      </c>
      <c r="D769" s="14" t="s">
        <v>3256</v>
      </c>
      <c r="E769" s="848">
        <v>2017</v>
      </c>
      <c r="F769" s="849" t="s">
        <v>3260</v>
      </c>
      <c r="G769" s="693" t="s">
        <v>3261</v>
      </c>
      <c r="H769" s="848" t="s">
        <v>3262</v>
      </c>
      <c r="I769" s="693" t="s">
        <v>3261</v>
      </c>
      <c r="J769" s="847">
        <v>64874735</v>
      </c>
      <c r="K769" s="847">
        <v>77998537</v>
      </c>
      <c r="L769" s="841">
        <v>362977704</v>
      </c>
      <c r="M769" s="847">
        <v>462093627</v>
      </c>
      <c r="N769" s="839">
        <f>Indicadores[[#This Row],[Ventas]]/Indicadores[[#This Row],[Activos totales]]</f>
        <v>1.2730633917944447</v>
      </c>
      <c r="O769" s="837">
        <f>IF(Indicadores[[#This Row],[Ventas]]=0,0,Indicadores[[#This Row],[EBITDA]]/Indicadores[[#This Row],[Ventas]])</f>
        <v>0.16879379511546477</v>
      </c>
      <c r="P769" s="837">
        <f>IF(Indicadores[[#This Row],[Ventas]]=0,0,Indicadores[[#This Row],[UAI]]/Indicadores[[#This Row],[Ventas]])</f>
        <v>0.14039305285636411</v>
      </c>
      <c r="Q769" s="837">
        <f>IFERROR(Indicadores[[#This Row],[Ventas]]/Indicadores[[#This Row],[Activos totales]],0)</f>
        <v>1.2730633917944447</v>
      </c>
    </row>
    <row r="770" spans="1:17" hidden="1" x14ac:dyDescent="0.35">
      <c r="A770" s="13" t="str">
        <f>MID(Indicadores[[#This Row],[CIIU]],2,4)</f>
        <v>7010</v>
      </c>
      <c r="B770" s="13" t="str">
        <f>Indicadores[[#This Row],[CIIU]]&amp;Indicadores[[#This Row],[Año]]</f>
        <v>M70102017</v>
      </c>
      <c r="C770" s="14" t="s">
        <v>3255</v>
      </c>
      <c r="D770" s="14" t="s">
        <v>3263</v>
      </c>
      <c r="E770" s="848">
        <v>2017</v>
      </c>
      <c r="F770" s="849" t="s">
        <v>3264</v>
      </c>
      <c r="G770" s="693" t="s">
        <v>3265</v>
      </c>
      <c r="H770" s="848" t="s">
        <v>3266</v>
      </c>
      <c r="I770" s="693" t="s">
        <v>3265</v>
      </c>
      <c r="J770" s="847">
        <v>567713431</v>
      </c>
      <c r="K770" s="847">
        <v>402359436</v>
      </c>
      <c r="L770" s="841">
        <v>12003082430</v>
      </c>
      <c r="M770" s="847">
        <v>855457295</v>
      </c>
      <c r="N770" s="839">
        <f>Indicadores[[#This Row],[Ventas]]/Indicadores[[#This Row],[Activos totales]]</f>
        <v>7.1269800902300395E-2</v>
      </c>
      <c r="O770" s="837">
        <f>IF(Indicadores[[#This Row],[Ventas]]=0,0,Indicadores[[#This Row],[EBITDA]]/Indicadores[[#This Row],[Ventas]])</f>
        <v>0.47034426890941411</v>
      </c>
      <c r="P770" s="837">
        <f>IF(Indicadores[[#This Row],[Ventas]]=0,0,Indicadores[[#This Row],[UAI]]/Indicadores[[#This Row],[Ventas]])</f>
        <v>0.66363737186904226</v>
      </c>
      <c r="Q770" s="837">
        <f>IFERROR(Indicadores[[#This Row],[Ventas]]/Indicadores[[#This Row],[Activos totales]],0)</f>
        <v>7.1269800902300395E-2</v>
      </c>
    </row>
    <row r="771" spans="1:17" hidden="1" x14ac:dyDescent="0.35">
      <c r="A771" s="13" t="str">
        <f>MID(Indicadores[[#This Row],[CIIU]],2,4)</f>
        <v>7020</v>
      </c>
      <c r="B771" s="13" t="str">
        <f>Indicadores[[#This Row],[CIIU]]&amp;Indicadores[[#This Row],[Año]]</f>
        <v>M70202017</v>
      </c>
      <c r="C771" s="14" t="s">
        <v>3255</v>
      </c>
      <c r="D771" s="14" t="s">
        <v>3263</v>
      </c>
      <c r="E771" s="848">
        <v>2017</v>
      </c>
      <c r="F771" s="849" t="s">
        <v>3267</v>
      </c>
      <c r="G771" s="693" t="s">
        <v>3268</v>
      </c>
      <c r="H771" s="848" t="s">
        <v>3269</v>
      </c>
      <c r="I771" s="693" t="s">
        <v>3268</v>
      </c>
      <c r="J771" s="847">
        <v>301125656</v>
      </c>
      <c r="K771" s="847">
        <v>361026169</v>
      </c>
      <c r="L771" s="841">
        <v>4629802211</v>
      </c>
      <c r="M771" s="847">
        <v>1907969945</v>
      </c>
      <c r="N771" s="839">
        <f>Indicadores[[#This Row],[Ventas]]/Indicadores[[#This Row],[Activos totales]]</f>
        <v>0.4121061458018298</v>
      </c>
      <c r="O771" s="837">
        <f>IF(Indicadores[[#This Row],[Ventas]]=0,0,Indicadores[[#This Row],[EBITDA]]/Indicadores[[#This Row],[Ventas]])</f>
        <v>0.1892200503189792</v>
      </c>
      <c r="P771" s="837">
        <f>IF(Indicadores[[#This Row],[Ventas]]=0,0,Indicadores[[#This Row],[UAI]]/Indicadores[[#This Row],[Ventas]])</f>
        <v>0.15782515693663088</v>
      </c>
      <c r="Q771" s="837">
        <f>IFERROR(Indicadores[[#This Row],[Ventas]]/Indicadores[[#This Row],[Activos totales]],0)</f>
        <v>0.4121061458018298</v>
      </c>
    </row>
    <row r="772" spans="1:17" hidden="1" x14ac:dyDescent="0.35">
      <c r="A772" s="13" t="str">
        <f>MID(Indicadores[[#This Row],[CIIU]],2,4)</f>
        <v>7110</v>
      </c>
      <c r="B772" s="13" t="str">
        <f>Indicadores[[#This Row],[CIIU]]&amp;Indicadores[[#This Row],[Año]]</f>
        <v>M71102017</v>
      </c>
      <c r="C772" s="14" t="s">
        <v>3255</v>
      </c>
      <c r="D772" s="14" t="s">
        <v>3270</v>
      </c>
      <c r="E772" s="848">
        <v>2017</v>
      </c>
      <c r="F772" s="849" t="s">
        <v>3271</v>
      </c>
      <c r="G772" s="693" t="s">
        <v>3272</v>
      </c>
      <c r="H772" s="848" t="s">
        <v>3273</v>
      </c>
      <c r="I772" s="693" t="s">
        <v>3272</v>
      </c>
      <c r="J772" s="847">
        <v>360593839</v>
      </c>
      <c r="K772" s="847">
        <v>498424476</v>
      </c>
      <c r="L772" s="841">
        <v>7802350559</v>
      </c>
      <c r="M772" s="847">
        <v>5416173323</v>
      </c>
      <c r="N772" s="839">
        <f>Indicadores[[#This Row],[Ventas]]/Indicadores[[#This Row],[Activos totales]]</f>
        <v>0.69417200394212641</v>
      </c>
      <c r="O772" s="837">
        <f>IF(Indicadores[[#This Row],[Ventas]]=0,0,Indicadores[[#This Row],[EBITDA]]/Indicadores[[#This Row],[Ventas]])</f>
        <v>9.2025207886797161E-2</v>
      </c>
      <c r="P772" s="837">
        <f>IF(Indicadores[[#This Row],[Ventas]]=0,0,Indicadores[[#This Row],[UAI]]/Indicadores[[#This Row],[Ventas]])</f>
        <v>6.6577234053556519E-2</v>
      </c>
      <c r="Q772" s="837">
        <f>IFERROR(Indicadores[[#This Row],[Ventas]]/Indicadores[[#This Row],[Activos totales]],0)</f>
        <v>0.69417200394212641</v>
      </c>
    </row>
    <row r="773" spans="1:17" hidden="1" x14ac:dyDescent="0.35">
      <c r="A773" s="13" t="str">
        <f>MID(Indicadores[[#This Row],[CIIU]],2,4)</f>
        <v>7120</v>
      </c>
      <c r="B773" s="13" t="str">
        <f>Indicadores[[#This Row],[CIIU]]&amp;Indicadores[[#This Row],[Año]]</f>
        <v>M71202017</v>
      </c>
      <c r="C773" s="14" t="s">
        <v>3255</v>
      </c>
      <c r="D773" s="14" t="s">
        <v>3270</v>
      </c>
      <c r="E773" s="848">
        <v>2017</v>
      </c>
      <c r="F773" s="849" t="s">
        <v>3274</v>
      </c>
      <c r="G773" s="693" t="s">
        <v>3275</v>
      </c>
      <c r="H773" s="848" t="s">
        <v>3276</v>
      </c>
      <c r="I773" s="693" t="s">
        <v>3275</v>
      </c>
      <c r="J773" s="847">
        <v>14853835</v>
      </c>
      <c r="K773" s="847">
        <v>17712669</v>
      </c>
      <c r="L773" s="841">
        <v>119779001</v>
      </c>
      <c r="M773" s="847">
        <v>75217927</v>
      </c>
      <c r="N773" s="839">
        <f>Indicadores[[#This Row],[Ventas]]/Indicadores[[#This Row],[Activos totales]]</f>
        <v>0.62797256924859479</v>
      </c>
      <c r="O773" s="837">
        <f>IF(Indicadores[[#This Row],[Ventas]]=0,0,Indicadores[[#This Row],[EBITDA]]/Indicadores[[#This Row],[Ventas]])</f>
        <v>0.23548467375337265</v>
      </c>
      <c r="P773" s="837">
        <f>IF(Indicadores[[#This Row],[Ventas]]=0,0,Indicadores[[#This Row],[UAI]]/Indicadores[[#This Row],[Ventas]])</f>
        <v>0.19747732478721461</v>
      </c>
      <c r="Q773" s="837">
        <f>IFERROR(Indicadores[[#This Row],[Ventas]]/Indicadores[[#This Row],[Activos totales]],0)</f>
        <v>0.62797256924859479</v>
      </c>
    </row>
    <row r="774" spans="1:17" hidden="1" x14ac:dyDescent="0.35">
      <c r="A774" s="13" t="str">
        <f>MID(Indicadores[[#This Row],[CIIU]],2,4)</f>
        <v>7210</v>
      </c>
      <c r="B774" s="13" t="str">
        <f>Indicadores[[#This Row],[CIIU]]&amp;Indicadores[[#This Row],[Año]]</f>
        <v>M72102017</v>
      </c>
      <c r="C774" s="14" t="s">
        <v>3255</v>
      </c>
      <c r="D774" s="14" t="s">
        <v>3277</v>
      </c>
      <c r="E774" s="848">
        <v>2017</v>
      </c>
      <c r="F774" s="849" t="s">
        <v>3278</v>
      </c>
      <c r="G774" s="693" t="s">
        <v>3279</v>
      </c>
      <c r="H774" s="848" t="s">
        <v>3280</v>
      </c>
      <c r="I774" s="693" t="s">
        <v>3281</v>
      </c>
      <c r="J774" s="847">
        <v>15945524</v>
      </c>
      <c r="K774" s="847">
        <v>17305335</v>
      </c>
      <c r="L774" s="841">
        <v>83856304</v>
      </c>
      <c r="M774" s="847">
        <v>76837853</v>
      </c>
      <c r="N774" s="839">
        <f>Indicadores[[#This Row],[Ventas]]/Indicadores[[#This Row],[Activos totales]]</f>
        <v>0.91630383566630835</v>
      </c>
      <c r="O774" s="837">
        <f>IF(Indicadores[[#This Row],[Ventas]]=0,0,Indicadores[[#This Row],[EBITDA]]/Indicadores[[#This Row],[Ventas]])</f>
        <v>0.22521887747175862</v>
      </c>
      <c r="P774" s="837">
        <f>IF(Indicadores[[#This Row],[Ventas]]=0,0,Indicadores[[#This Row],[UAI]]/Indicadores[[#This Row],[Ventas]])</f>
        <v>0.20752172760475232</v>
      </c>
      <c r="Q774" s="837">
        <f>IFERROR(Indicadores[[#This Row],[Ventas]]/Indicadores[[#This Row],[Activos totales]],0)</f>
        <v>0.91630383566630835</v>
      </c>
    </row>
    <row r="775" spans="1:17" hidden="1" x14ac:dyDescent="0.35">
      <c r="A775" s="13" t="str">
        <f>MID(Indicadores[[#This Row],[CIIU]],2,4)</f>
        <v>7220</v>
      </c>
      <c r="B775" s="13" t="str">
        <f>Indicadores[[#This Row],[CIIU]]&amp;Indicadores[[#This Row],[Año]]</f>
        <v>M72202017</v>
      </c>
      <c r="C775" s="14" t="s">
        <v>3255</v>
      </c>
      <c r="D775" s="14" t="s">
        <v>3277</v>
      </c>
      <c r="E775" s="848">
        <v>2017</v>
      </c>
      <c r="F775" s="849" t="s">
        <v>3282</v>
      </c>
      <c r="G775" s="693" t="s">
        <v>3283</v>
      </c>
      <c r="H775" s="848" t="s">
        <v>3284</v>
      </c>
      <c r="I775" s="693" t="s">
        <v>3283</v>
      </c>
      <c r="J775" s="847">
        <v>728598</v>
      </c>
      <c r="K775" s="847">
        <v>688387</v>
      </c>
      <c r="L775" s="841">
        <v>138802090</v>
      </c>
      <c r="M775" s="847">
        <v>17279947</v>
      </c>
      <c r="N775" s="839">
        <f>Indicadores[[#This Row],[Ventas]]/Indicadores[[#This Row],[Activos totales]]</f>
        <v>0.12449342081232351</v>
      </c>
      <c r="O775" s="837">
        <f>IF(Indicadores[[#This Row],[Ventas]]=0,0,Indicadores[[#This Row],[EBITDA]]/Indicadores[[#This Row],[Ventas]])</f>
        <v>3.9837332834412049E-2</v>
      </c>
      <c r="P775" s="837">
        <f>IF(Indicadores[[#This Row],[Ventas]]=0,0,Indicadores[[#This Row],[UAI]]/Indicadores[[#This Row],[Ventas]])</f>
        <v>4.2164365434685651E-2</v>
      </c>
      <c r="Q775" s="837">
        <f>IFERROR(Indicadores[[#This Row],[Ventas]]/Indicadores[[#This Row],[Activos totales]],0)</f>
        <v>0.12449342081232351</v>
      </c>
    </row>
    <row r="776" spans="1:17" hidden="1" x14ac:dyDescent="0.35">
      <c r="A776" s="13" t="str">
        <f>MID(Indicadores[[#This Row],[CIIU]],2,4)</f>
        <v>7310</v>
      </c>
      <c r="B776" s="13" t="str">
        <f>Indicadores[[#This Row],[CIIU]]&amp;Indicadores[[#This Row],[Año]]</f>
        <v>M73102017</v>
      </c>
      <c r="C776" s="14" t="s">
        <v>3255</v>
      </c>
      <c r="D776" s="14" t="s">
        <v>3285</v>
      </c>
      <c r="E776" s="848">
        <v>2017</v>
      </c>
      <c r="F776" s="849" t="s">
        <v>3286</v>
      </c>
      <c r="G776" s="693" t="s">
        <v>3287</v>
      </c>
      <c r="H776" s="848" t="s">
        <v>3288</v>
      </c>
      <c r="I776" s="693" t="s">
        <v>3287</v>
      </c>
      <c r="J776" s="847">
        <v>193045666</v>
      </c>
      <c r="K776" s="847">
        <v>243230415</v>
      </c>
      <c r="L776" s="841">
        <v>2996049415</v>
      </c>
      <c r="M776" s="847">
        <v>2641625108</v>
      </c>
      <c r="N776" s="839">
        <f>Indicadores[[#This Row],[Ventas]]/Indicadores[[#This Row],[Activos totales]]</f>
        <v>0.88170278326333951</v>
      </c>
      <c r="O776" s="837">
        <f>IF(Indicadores[[#This Row],[Ventas]]=0,0,Indicadores[[#This Row],[EBITDA]]/Indicadores[[#This Row],[Ventas]])</f>
        <v>9.207605358663179E-2</v>
      </c>
      <c r="P776" s="837">
        <f>IF(Indicadores[[#This Row],[Ventas]]=0,0,Indicadores[[#This Row],[UAI]]/Indicadores[[#This Row],[Ventas]])</f>
        <v>7.3078373390445525E-2</v>
      </c>
      <c r="Q776" s="837">
        <f>IFERROR(Indicadores[[#This Row],[Ventas]]/Indicadores[[#This Row],[Activos totales]],0)</f>
        <v>0.88170278326333951</v>
      </c>
    </row>
    <row r="777" spans="1:17" hidden="1" x14ac:dyDescent="0.35">
      <c r="A777" s="13" t="str">
        <f>MID(Indicadores[[#This Row],[CIIU]],2,4)</f>
        <v>7320</v>
      </c>
      <c r="B777" s="13" t="str">
        <f>Indicadores[[#This Row],[CIIU]]&amp;Indicadores[[#This Row],[Año]]</f>
        <v>M73202017</v>
      </c>
      <c r="C777" s="14" t="s">
        <v>3255</v>
      </c>
      <c r="D777" s="14" t="s">
        <v>3285</v>
      </c>
      <c r="E777" s="848">
        <v>2017</v>
      </c>
      <c r="F777" s="849" t="s">
        <v>3289</v>
      </c>
      <c r="G777" s="693" t="s">
        <v>3290</v>
      </c>
      <c r="H777" s="848" t="s">
        <v>3291</v>
      </c>
      <c r="I777" s="693" t="s">
        <v>3290</v>
      </c>
      <c r="J777" s="847">
        <v>36610296</v>
      </c>
      <c r="K777" s="847">
        <v>44825812</v>
      </c>
      <c r="L777" s="841">
        <v>308382826</v>
      </c>
      <c r="M777" s="847">
        <v>355454468</v>
      </c>
      <c r="N777" s="839">
        <f>Indicadores[[#This Row],[Ventas]]/Indicadores[[#This Row],[Activos totales]]</f>
        <v>1.1526402835416003</v>
      </c>
      <c r="O777" s="837">
        <f>IF(Indicadores[[#This Row],[Ventas]]=0,0,Indicadores[[#This Row],[EBITDA]]/Indicadores[[#This Row],[Ventas]])</f>
        <v>0.12610844998577989</v>
      </c>
      <c r="P777" s="837">
        <f>IF(Indicadores[[#This Row],[Ventas]]=0,0,Indicadores[[#This Row],[UAI]]/Indicadores[[#This Row],[Ventas]])</f>
        <v>0.10299574009012034</v>
      </c>
      <c r="Q777" s="837">
        <f>IFERROR(Indicadores[[#This Row],[Ventas]]/Indicadores[[#This Row],[Activos totales]],0)</f>
        <v>1.1526402835416003</v>
      </c>
    </row>
    <row r="778" spans="1:17" hidden="1" x14ac:dyDescent="0.35">
      <c r="A778" s="13" t="str">
        <f>MID(Indicadores[[#This Row],[CIIU]],2,4)</f>
        <v>7410</v>
      </c>
      <c r="B778" s="13" t="str">
        <f>Indicadores[[#This Row],[CIIU]]&amp;Indicadores[[#This Row],[Año]]</f>
        <v>M74102017</v>
      </c>
      <c r="C778" s="14" t="s">
        <v>3255</v>
      </c>
      <c r="D778" s="14" t="s">
        <v>3292</v>
      </c>
      <c r="E778" s="848">
        <v>2017</v>
      </c>
      <c r="F778" s="849" t="s">
        <v>3293</v>
      </c>
      <c r="G778" s="693" t="s">
        <v>3294</v>
      </c>
      <c r="H778" s="848" t="s">
        <v>3295</v>
      </c>
      <c r="I778" s="693" t="s">
        <v>3296</v>
      </c>
      <c r="J778" s="847">
        <v>3904366</v>
      </c>
      <c r="K778" s="847">
        <v>7884779</v>
      </c>
      <c r="L778" s="841">
        <v>114781288</v>
      </c>
      <c r="M778" s="847">
        <v>147365150</v>
      </c>
      <c r="N778" s="839">
        <f>Indicadores[[#This Row],[Ventas]]/Indicadores[[#This Row],[Activos totales]]</f>
        <v>1.2838778216184505</v>
      </c>
      <c r="O778" s="837">
        <f>IF(Indicadores[[#This Row],[Ventas]]=0,0,Indicadores[[#This Row],[EBITDA]]/Indicadores[[#This Row],[Ventas]])</f>
        <v>5.350504512091224E-2</v>
      </c>
      <c r="P778" s="837">
        <f>IF(Indicadores[[#This Row],[Ventas]]=0,0,Indicadores[[#This Row],[UAI]]/Indicadores[[#This Row],[Ventas]])</f>
        <v>2.6494500226138949E-2</v>
      </c>
      <c r="Q778" s="837">
        <f>IFERROR(Indicadores[[#This Row],[Ventas]]/Indicadores[[#This Row],[Activos totales]],0)</f>
        <v>1.2838778216184505</v>
      </c>
    </row>
    <row r="779" spans="1:17" hidden="1" x14ac:dyDescent="0.35">
      <c r="A779" s="13" t="str">
        <f>MID(Indicadores[[#This Row],[CIIU]],2,4)</f>
        <v>7420</v>
      </c>
      <c r="B779" s="13" t="str">
        <f>Indicadores[[#This Row],[CIIU]]&amp;Indicadores[[#This Row],[Año]]</f>
        <v>M74202017</v>
      </c>
      <c r="C779" s="14" t="s">
        <v>3255</v>
      </c>
      <c r="D779" s="14" t="s">
        <v>3292</v>
      </c>
      <c r="E779" s="848">
        <v>2017</v>
      </c>
      <c r="F779" s="849" t="s">
        <v>3297</v>
      </c>
      <c r="G779" s="693" t="s">
        <v>3298</v>
      </c>
      <c r="H779" s="848" t="s">
        <v>3299</v>
      </c>
      <c r="I779" s="693" t="s">
        <v>3298</v>
      </c>
      <c r="J779" s="847">
        <v>8357060</v>
      </c>
      <c r="K779" s="847">
        <v>10227774</v>
      </c>
      <c r="L779" s="841">
        <v>121027156</v>
      </c>
      <c r="M779" s="847">
        <v>62127133</v>
      </c>
      <c r="N779" s="839">
        <f>Indicadores[[#This Row],[Ventas]]/Indicadores[[#This Row],[Activos totales]]</f>
        <v>0.513332173152941</v>
      </c>
      <c r="O779" s="837">
        <f>IF(Indicadores[[#This Row],[Ventas]]=0,0,Indicadores[[#This Row],[EBITDA]]/Indicadores[[#This Row],[Ventas]])</f>
        <v>0.16462652477461015</v>
      </c>
      <c r="P779" s="837">
        <f>IF(Indicadores[[#This Row],[Ventas]]=0,0,Indicadores[[#This Row],[UAI]]/Indicadores[[#This Row],[Ventas]])</f>
        <v>0.1345154620284828</v>
      </c>
      <c r="Q779" s="837">
        <f>IFERROR(Indicadores[[#This Row],[Ventas]]/Indicadores[[#This Row],[Activos totales]],0)</f>
        <v>0.513332173152941</v>
      </c>
    </row>
    <row r="780" spans="1:17" hidden="1" x14ac:dyDescent="0.35">
      <c r="A780" s="13" t="str">
        <f>MID(Indicadores[[#This Row],[CIIU]],2,4)</f>
        <v>7490</v>
      </c>
      <c r="B780" s="13" t="str">
        <f>Indicadores[[#This Row],[CIIU]]&amp;Indicadores[[#This Row],[Año]]</f>
        <v>M74902017</v>
      </c>
      <c r="C780" s="14" t="s">
        <v>3255</v>
      </c>
      <c r="D780" s="14" t="s">
        <v>3292</v>
      </c>
      <c r="E780" s="848">
        <v>2017</v>
      </c>
      <c r="F780" s="849" t="s">
        <v>3300</v>
      </c>
      <c r="G780" s="693" t="s">
        <v>3301</v>
      </c>
      <c r="H780" s="848" t="s">
        <v>3302</v>
      </c>
      <c r="I780" s="693" t="s">
        <v>3301</v>
      </c>
      <c r="J780" s="847">
        <v>-241995148</v>
      </c>
      <c r="K780" s="847">
        <v>93294196</v>
      </c>
      <c r="L780" s="841">
        <v>17564432702</v>
      </c>
      <c r="M780" s="847">
        <v>1083942650</v>
      </c>
      <c r="N780" s="839">
        <f>Indicadores[[#This Row],[Ventas]]/Indicadores[[#This Row],[Activos totales]]</f>
        <v>6.1712363182477012E-2</v>
      </c>
      <c r="O780" s="837">
        <f>IF(Indicadores[[#This Row],[Ventas]]=0,0,Indicadores[[#This Row],[EBITDA]]/Indicadores[[#This Row],[Ventas]])</f>
        <v>8.6069310032223567E-2</v>
      </c>
      <c r="P780" s="837">
        <f>IF(Indicadores[[#This Row],[Ventas]]=0,0,Indicadores[[#This Row],[UAI]]/Indicadores[[#This Row],[Ventas]])</f>
        <v>-0.22325456794231688</v>
      </c>
      <c r="Q780" s="837">
        <f>IFERROR(Indicadores[[#This Row],[Ventas]]/Indicadores[[#This Row],[Activos totales]],0)</f>
        <v>6.1712363182477012E-2</v>
      </c>
    </row>
    <row r="781" spans="1:17" hidden="1" x14ac:dyDescent="0.35">
      <c r="A781" s="13" t="str">
        <f>MID(Indicadores[[#This Row],[CIIU]],2,4)</f>
        <v>7710</v>
      </c>
      <c r="B781" s="13" t="str">
        <f>Indicadores[[#This Row],[CIIU]]&amp;Indicadores[[#This Row],[Año]]</f>
        <v>N77102017</v>
      </c>
      <c r="C781" s="14" t="s">
        <v>3303</v>
      </c>
      <c r="D781" s="14" t="s">
        <v>3304</v>
      </c>
      <c r="E781" s="848">
        <v>2017</v>
      </c>
      <c r="F781" s="849" t="s">
        <v>3305</v>
      </c>
      <c r="G781" s="693" t="s">
        <v>3306</v>
      </c>
      <c r="H781" s="848" t="s">
        <v>3307</v>
      </c>
      <c r="I781" s="693" t="s">
        <v>3306</v>
      </c>
      <c r="J781" s="847">
        <v>148239599</v>
      </c>
      <c r="K781" s="847">
        <v>381837175</v>
      </c>
      <c r="L781" s="841">
        <v>2278646848</v>
      </c>
      <c r="M781" s="847">
        <v>771678518</v>
      </c>
      <c r="N781" s="839">
        <f>Indicadores[[#This Row],[Ventas]]/Indicadores[[#This Row],[Activos totales]]</f>
        <v>0.33865647881211297</v>
      </c>
      <c r="O781" s="837">
        <f>IF(Indicadores[[#This Row],[Ventas]]=0,0,Indicadores[[#This Row],[EBITDA]]/Indicadores[[#This Row],[Ventas]])</f>
        <v>0.49481379368914868</v>
      </c>
      <c r="P781" s="837">
        <f>IF(Indicadores[[#This Row],[Ventas]]=0,0,Indicadores[[#This Row],[UAI]]/Indicadores[[#This Row],[Ventas]])</f>
        <v>0.1921002017578517</v>
      </c>
      <c r="Q781" s="837">
        <f>IFERROR(Indicadores[[#This Row],[Ventas]]/Indicadores[[#This Row],[Activos totales]],0)</f>
        <v>0.33865647881211297</v>
      </c>
    </row>
    <row r="782" spans="1:17" hidden="1" x14ac:dyDescent="0.35">
      <c r="A782" s="13" t="str">
        <f>MID(Indicadores[[#This Row],[CIIU]],2,4)</f>
        <v>7721</v>
      </c>
      <c r="B782" s="13" t="str">
        <f>Indicadores[[#This Row],[CIIU]]&amp;Indicadores[[#This Row],[Año]]</f>
        <v>N77212017</v>
      </c>
      <c r="C782" s="14" t="s">
        <v>3303</v>
      </c>
      <c r="D782" s="14" t="s">
        <v>3304</v>
      </c>
      <c r="E782" s="848">
        <v>2017</v>
      </c>
      <c r="F782" s="849" t="s">
        <v>3308</v>
      </c>
      <c r="G782" s="838" t="s">
        <v>3309</v>
      </c>
      <c r="H782" s="848" t="s">
        <v>3310</v>
      </c>
      <c r="I782" s="693" t="s">
        <v>3309</v>
      </c>
      <c r="J782" s="847">
        <v>13391</v>
      </c>
      <c r="K782" s="847">
        <v>13391</v>
      </c>
      <c r="L782" s="841">
        <v>5475501</v>
      </c>
      <c r="M782" s="847">
        <v>3319193</v>
      </c>
      <c r="N782" s="839">
        <f>Indicadores[[#This Row],[Ventas]]/Indicadores[[#This Row],[Activos totales]]</f>
        <v>0.60618982628256302</v>
      </c>
      <c r="O782" s="837">
        <f>IF(Indicadores[[#This Row],[Ventas]]=0,0,Indicadores[[#This Row],[EBITDA]]/Indicadores[[#This Row],[Ventas]])</f>
        <v>4.0344143892807683E-3</v>
      </c>
      <c r="P782" s="837">
        <f>IF(Indicadores[[#This Row],[Ventas]]=0,0,Indicadores[[#This Row],[UAI]]/Indicadores[[#This Row],[Ventas]])</f>
        <v>4.0344143892807683E-3</v>
      </c>
      <c r="Q782" s="837">
        <f>IFERROR(Indicadores[[#This Row],[Ventas]]/Indicadores[[#This Row],[Activos totales]],0)</f>
        <v>0.60618982628256302</v>
      </c>
    </row>
    <row r="783" spans="1:17" hidden="1" x14ac:dyDescent="0.35">
      <c r="A783" s="13" t="str">
        <f>MID(Indicadores[[#This Row],[CIIU]],2,4)</f>
        <v>7730</v>
      </c>
      <c r="B783" s="13" t="str">
        <f>Indicadores[[#This Row],[CIIU]]&amp;Indicadores[[#This Row],[Año]]</f>
        <v>N77302017</v>
      </c>
      <c r="C783" s="14" t="s">
        <v>3303</v>
      </c>
      <c r="D783" s="14" t="s">
        <v>3304</v>
      </c>
      <c r="E783" s="848">
        <v>2017</v>
      </c>
      <c r="F783" s="849" t="s">
        <v>3311</v>
      </c>
      <c r="G783" s="693" t="s">
        <v>3312</v>
      </c>
      <c r="H783" s="848" t="s">
        <v>3313</v>
      </c>
      <c r="I783" s="693" t="s">
        <v>3312</v>
      </c>
      <c r="J783" s="847">
        <v>96915896</v>
      </c>
      <c r="K783" s="847">
        <v>423519319</v>
      </c>
      <c r="L783" s="841">
        <v>3615910679</v>
      </c>
      <c r="M783" s="847">
        <v>1371509540</v>
      </c>
      <c r="N783" s="839">
        <f>Indicadores[[#This Row],[Ventas]]/Indicadores[[#This Row],[Activos totales]]</f>
        <v>0.37929851198074904</v>
      </c>
      <c r="O783" s="837">
        <f>IF(Indicadores[[#This Row],[Ventas]]=0,0,Indicadores[[#This Row],[EBITDA]]/Indicadores[[#This Row],[Ventas]])</f>
        <v>0.3087979388025256</v>
      </c>
      <c r="P783" s="837">
        <f>IF(Indicadores[[#This Row],[Ventas]]=0,0,Indicadores[[#This Row],[UAI]]/Indicadores[[#This Row],[Ventas]])</f>
        <v>7.066366887976587E-2</v>
      </c>
      <c r="Q783" s="837">
        <f>IFERROR(Indicadores[[#This Row],[Ventas]]/Indicadores[[#This Row],[Activos totales]],0)</f>
        <v>0.37929851198074904</v>
      </c>
    </row>
    <row r="784" spans="1:17" hidden="1" x14ac:dyDescent="0.35">
      <c r="A784" s="13" t="str">
        <f>MID(Indicadores[[#This Row],[CIIU]],2,4)</f>
        <v>7740</v>
      </c>
      <c r="B784" s="13" t="str">
        <f>Indicadores[[#This Row],[CIIU]]&amp;Indicadores[[#This Row],[Año]]</f>
        <v>N77402017</v>
      </c>
      <c r="C784" s="14" t="s">
        <v>3303</v>
      </c>
      <c r="D784" s="14" t="s">
        <v>3304</v>
      </c>
      <c r="E784" s="848">
        <v>2017</v>
      </c>
      <c r="F784" s="849" t="s">
        <v>3314</v>
      </c>
      <c r="G784" s="693" t="s">
        <v>3315</v>
      </c>
      <c r="H784" s="848" t="s">
        <v>3316</v>
      </c>
      <c r="I784" s="693" t="s">
        <v>3315</v>
      </c>
      <c r="J784" s="847">
        <v>121598367</v>
      </c>
      <c r="K784" s="847">
        <v>175483312</v>
      </c>
      <c r="L784" s="841">
        <v>899425614</v>
      </c>
      <c r="M784" s="847">
        <v>240952520</v>
      </c>
      <c r="N784" s="839">
        <f>Indicadores[[#This Row],[Ventas]]/Indicadores[[#This Row],[Activos totales]]</f>
        <v>0.2678959952323528</v>
      </c>
      <c r="O784" s="837">
        <f>IF(Indicadores[[#This Row],[Ventas]]=0,0,Indicadores[[#This Row],[EBITDA]]/Indicadores[[#This Row],[Ventas]])</f>
        <v>0.72829000501841612</v>
      </c>
      <c r="P784" s="837">
        <f>IF(Indicadores[[#This Row],[Ventas]]=0,0,Indicadores[[#This Row],[UAI]]/Indicadores[[#This Row],[Ventas]])</f>
        <v>0.50465696312285924</v>
      </c>
      <c r="Q784" s="837">
        <f>IFERROR(Indicadores[[#This Row],[Ventas]]/Indicadores[[#This Row],[Activos totales]],0)</f>
        <v>0.2678959952323528</v>
      </c>
    </row>
    <row r="785" spans="1:17" hidden="1" x14ac:dyDescent="0.35">
      <c r="A785" s="13" t="str">
        <f>MID(Indicadores[[#This Row],[CIIU]],2,4)</f>
        <v>7810</v>
      </c>
      <c r="B785" s="13" t="str">
        <f>Indicadores[[#This Row],[CIIU]]&amp;Indicadores[[#This Row],[Año]]</f>
        <v>N78102017</v>
      </c>
      <c r="C785" s="14" t="s">
        <v>3303</v>
      </c>
      <c r="D785" s="14" t="s">
        <v>3317</v>
      </c>
      <c r="E785" s="848">
        <v>2017</v>
      </c>
      <c r="F785" s="849" t="s">
        <v>3318</v>
      </c>
      <c r="G785" s="838" t="s">
        <v>3319</v>
      </c>
      <c r="H785" s="848" t="s">
        <v>3320</v>
      </c>
      <c r="I785" s="693" t="s">
        <v>3319</v>
      </c>
      <c r="J785" s="847">
        <v>3232445</v>
      </c>
      <c r="K785" s="847">
        <v>8861823</v>
      </c>
      <c r="L785" s="841">
        <v>146706989</v>
      </c>
      <c r="M785" s="847">
        <v>190401081</v>
      </c>
      <c r="N785" s="839">
        <f>Indicadores[[#This Row],[Ventas]]/Indicadores[[#This Row],[Activos totales]]</f>
        <v>1.2978323820687234</v>
      </c>
      <c r="O785" s="837">
        <f>IF(Indicadores[[#This Row],[Ventas]]=0,0,Indicadores[[#This Row],[EBITDA]]/Indicadores[[#This Row],[Ventas]])</f>
        <v>4.6542923776782548E-2</v>
      </c>
      <c r="P785" s="837">
        <f>IF(Indicadores[[#This Row],[Ventas]]=0,0,Indicadores[[#This Row],[UAI]]/Indicadores[[#This Row],[Ventas]])</f>
        <v>1.6977030713391801E-2</v>
      </c>
      <c r="Q785" s="837">
        <f>IFERROR(Indicadores[[#This Row],[Ventas]]/Indicadores[[#This Row],[Activos totales]],0)</f>
        <v>1.2978323820687234</v>
      </c>
    </row>
    <row r="786" spans="1:17" hidden="1" x14ac:dyDescent="0.35">
      <c r="A786" s="13" t="str">
        <f>MID(Indicadores[[#This Row],[CIIU]],2,4)</f>
        <v>7820</v>
      </c>
      <c r="B786" s="13" t="str">
        <f>Indicadores[[#This Row],[CIIU]]&amp;Indicadores[[#This Row],[Año]]</f>
        <v>N78202017</v>
      </c>
      <c r="C786" s="14" t="s">
        <v>3303</v>
      </c>
      <c r="D786" s="14" t="s">
        <v>3317</v>
      </c>
      <c r="E786" s="848">
        <v>2017</v>
      </c>
      <c r="F786" s="849" t="s">
        <v>3321</v>
      </c>
      <c r="G786" s="693" t="s">
        <v>3322</v>
      </c>
      <c r="H786" s="848" t="s">
        <v>3323</v>
      </c>
      <c r="I786" s="693" t="s">
        <v>3322</v>
      </c>
      <c r="J786" s="847">
        <v>54550915</v>
      </c>
      <c r="K786" s="847">
        <v>102860256</v>
      </c>
      <c r="L786" s="841">
        <v>1146705069</v>
      </c>
      <c r="M786" s="847">
        <v>6190683654</v>
      </c>
      <c r="N786" s="839">
        <f>Indicadores[[#This Row],[Ventas]]/Indicadores[[#This Row],[Activos totales]]</f>
        <v>5.3986712201409128</v>
      </c>
      <c r="O786" s="837">
        <f>IF(Indicadores[[#This Row],[Ventas]]=0,0,Indicadores[[#This Row],[EBITDA]]/Indicadores[[#This Row],[Ventas]])</f>
        <v>1.6615330672491831E-2</v>
      </c>
      <c r="P786" s="837">
        <f>IF(Indicadores[[#This Row],[Ventas]]=0,0,Indicadores[[#This Row],[UAI]]/Indicadores[[#This Row],[Ventas]])</f>
        <v>8.8117755725981729E-3</v>
      </c>
      <c r="Q786" s="837">
        <f>IFERROR(Indicadores[[#This Row],[Ventas]]/Indicadores[[#This Row],[Activos totales]],0)</f>
        <v>5.3986712201409128</v>
      </c>
    </row>
    <row r="787" spans="1:17" hidden="1" x14ac:dyDescent="0.35">
      <c r="A787" s="13" t="str">
        <f>MID(Indicadores[[#This Row],[CIIU]],2,4)</f>
        <v>7830</v>
      </c>
      <c r="B787" s="13" t="str">
        <f>Indicadores[[#This Row],[CIIU]]&amp;Indicadores[[#This Row],[Año]]</f>
        <v>N78302017</v>
      </c>
      <c r="C787" s="14" t="s">
        <v>3303</v>
      </c>
      <c r="D787" s="14" t="s">
        <v>3317</v>
      </c>
      <c r="E787" s="848">
        <v>2017</v>
      </c>
      <c r="F787" s="849" t="s">
        <v>3324</v>
      </c>
      <c r="G787" s="693" t="s">
        <v>3325</v>
      </c>
      <c r="H787" s="848" t="s">
        <v>3326</v>
      </c>
      <c r="I787" s="693" t="s">
        <v>3325</v>
      </c>
      <c r="J787" s="847">
        <v>36442009</v>
      </c>
      <c r="K787" s="847">
        <v>49358862</v>
      </c>
      <c r="L787" s="841">
        <v>427011982</v>
      </c>
      <c r="M787" s="847">
        <v>1392661836</v>
      </c>
      <c r="N787" s="839">
        <f>Indicadores[[#This Row],[Ventas]]/Indicadores[[#This Row],[Activos totales]]</f>
        <v>3.2614116106933975</v>
      </c>
      <c r="O787" s="837">
        <f>IF(Indicadores[[#This Row],[Ventas]]=0,0,Indicadores[[#This Row],[EBITDA]]/Indicadores[[#This Row],[Ventas]])</f>
        <v>3.5442101394670515E-2</v>
      </c>
      <c r="P787" s="837">
        <f>IF(Indicadores[[#This Row],[Ventas]]=0,0,Indicadores[[#This Row],[UAI]]/Indicadores[[#This Row],[Ventas]])</f>
        <v>2.6167162808646106E-2</v>
      </c>
      <c r="Q787" s="837">
        <f>IFERROR(Indicadores[[#This Row],[Ventas]]/Indicadores[[#This Row],[Activos totales]],0)</f>
        <v>3.2614116106933975</v>
      </c>
    </row>
    <row r="788" spans="1:17" hidden="1" x14ac:dyDescent="0.35">
      <c r="A788" s="13" t="str">
        <f>MID(Indicadores[[#This Row],[CIIU]],2,4)</f>
        <v>7911</v>
      </c>
      <c r="B788" s="13" t="str">
        <f>Indicadores[[#This Row],[CIIU]]&amp;Indicadores[[#This Row],[Año]]</f>
        <v>N79112017</v>
      </c>
      <c r="C788" s="14" t="s">
        <v>3303</v>
      </c>
      <c r="D788" s="14" t="s">
        <v>3327</v>
      </c>
      <c r="E788" s="848">
        <v>2017</v>
      </c>
      <c r="F788" s="849" t="s">
        <v>3328</v>
      </c>
      <c r="G788" s="693" t="s">
        <v>3329</v>
      </c>
      <c r="H788" s="848" t="s">
        <v>3330</v>
      </c>
      <c r="I788" s="693" t="s">
        <v>3329</v>
      </c>
      <c r="J788" s="847">
        <v>25787090.049999997</v>
      </c>
      <c r="K788" s="847">
        <v>30151562.989999998</v>
      </c>
      <c r="L788" s="841">
        <v>675287738.37</v>
      </c>
      <c r="M788" s="847">
        <v>613515752.41000009</v>
      </c>
      <c r="N788" s="839">
        <f>Indicadores[[#This Row],[Ventas]]/Indicadores[[#This Row],[Activos totales]]</f>
        <v>0.90852494062885802</v>
      </c>
      <c r="O788" s="837">
        <f>IF(Indicadores[[#This Row],[Ventas]]=0,0,Indicadores[[#This Row],[EBITDA]]/Indicadores[[#This Row],[Ventas]])</f>
        <v>4.914554006406395E-2</v>
      </c>
      <c r="P788" s="837">
        <f>IF(Indicadores[[#This Row],[Ventas]]=0,0,Indicadores[[#This Row],[UAI]]/Indicadores[[#This Row],[Ventas]])</f>
        <v>4.203166740006866E-2</v>
      </c>
      <c r="Q788" s="837">
        <f>IFERROR(Indicadores[[#This Row],[Ventas]]/Indicadores[[#This Row],[Activos totales]],0)</f>
        <v>0.90852494062885802</v>
      </c>
    </row>
    <row r="789" spans="1:17" hidden="1" x14ac:dyDescent="0.35">
      <c r="A789" s="13" t="str">
        <f>MID(Indicadores[[#This Row],[CIIU]],2,4)</f>
        <v>7912</v>
      </c>
      <c r="B789" s="13" t="str">
        <f>Indicadores[[#This Row],[CIIU]]&amp;Indicadores[[#This Row],[Año]]</f>
        <v>N79122017</v>
      </c>
      <c r="C789" s="14" t="s">
        <v>3303</v>
      </c>
      <c r="D789" s="14" t="s">
        <v>3327</v>
      </c>
      <c r="E789" s="848">
        <v>2017</v>
      </c>
      <c r="F789" s="849" t="s">
        <v>3331</v>
      </c>
      <c r="G789" s="693" t="s">
        <v>3332</v>
      </c>
      <c r="H789" s="848" t="s">
        <v>3333</v>
      </c>
      <c r="I789" s="693" t="s">
        <v>3332</v>
      </c>
      <c r="J789" s="847">
        <v>-1259424</v>
      </c>
      <c r="K789" s="847">
        <v>-775482</v>
      </c>
      <c r="L789" s="841">
        <v>63842451</v>
      </c>
      <c r="M789" s="847">
        <v>26790096</v>
      </c>
      <c r="N789" s="839">
        <f>Indicadores[[#This Row],[Ventas]]/Indicadores[[#This Row],[Activos totales]]</f>
        <v>0.41962825017479355</v>
      </c>
      <c r="O789" s="837">
        <f>IF(Indicadores[[#This Row],[Ventas]]=0,0,Indicadores[[#This Row],[EBITDA]]/Indicadores[[#This Row],[Ventas]])</f>
        <v>-2.8946592800563314E-2</v>
      </c>
      <c r="P789" s="837">
        <f>IF(Indicadores[[#This Row],[Ventas]]=0,0,Indicadores[[#This Row],[UAI]]/Indicadores[[#This Row],[Ventas]])</f>
        <v>-4.7010805784346577E-2</v>
      </c>
      <c r="Q789" s="837">
        <f>IFERROR(Indicadores[[#This Row],[Ventas]]/Indicadores[[#This Row],[Activos totales]],0)</f>
        <v>0.41962825017479355</v>
      </c>
    </row>
    <row r="790" spans="1:17" hidden="1" x14ac:dyDescent="0.35">
      <c r="A790" s="13" t="str">
        <f>MID(Indicadores[[#This Row],[CIIU]],2,4)</f>
        <v>7990</v>
      </c>
      <c r="B790" s="13" t="str">
        <f>Indicadores[[#This Row],[CIIU]]&amp;Indicadores[[#This Row],[Año]]</f>
        <v>N79902017</v>
      </c>
      <c r="C790" s="14" t="s">
        <v>3303</v>
      </c>
      <c r="D790" s="14" t="s">
        <v>3327</v>
      </c>
      <c r="E790" s="848">
        <v>2017</v>
      </c>
      <c r="F790" s="849" t="s">
        <v>3334</v>
      </c>
      <c r="G790" s="693" t="s">
        <v>3335</v>
      </c>
      <c r="H790" s="848" t="s">
        <v>3336</v>
      </c>
      <c r="I790" s="693" t="s">
        <v>3335</v>
      </c>
      <c r="J790" s="847">
        <v>7204967</v>
      </c>
      <c r="K790" s="847">
        <v>12198180</v>
      </c>
      <c r="L790" s="841">
        <v>617633523</v>
      </c>
      <c r="M790" s="847">
        <v>94038196</v>
      </c>
      <c r="N790" s="839">
        <f>Indicadores[[#This Row],[Ventas]]/Indicadores[[#This Row],[Activos totales]]</f>
        <v>0.15225565403774238</v>
      </c>
      <c r="O790" s="837">
        <f>IF(Indicadores[[#This Row],[Ventas]]=0,0,Indicadores[[#This Row],[EBITDA]]/Indicadores[[#This Row],[Ventas]])</f>
        <v>0.1297151638255587</v>
      </c>
      <c r="P790" s="837">
        <f>IF(Indicadores[[#This Row],[Ventas]]=0,0,Indicadores[[#This Row],[UAI]]/Indicadores[[#This Row],[Ventas]])</f>
        <v>7.6617452338196709E-2</v>
      </c>
      <c r="Q790" s="837">
        <f>IFERROR(Indicadores[[#This Row],[Ventas]]/Indicadores[[#This Row],[Activos totales]],0)</f>
        <v>0.15225565403774238</v>
      </c>
    </row>
    <row r="791" spans="1:17" hidden="1" x14ac:dyDescent="0.35">
      <c r="A791" s="13" t="str">
        <f>MID(Indicadores[[#This Row],[CIIU]],2,4)</f>
        <v>8010</v>
      </c>
      <c r="B791" s="13" t="str">
        <f>Indicadores[[#This Row],[CIIU]]&amp;Indicadores[[#This Row],[Año]]</f>
        <v>N80102017</v>
      </c>
      <c r="C791" s="14" t="s">
        <v>3303</v>
      </c>
      <c r="D791" s="14" t="s">
        <v>3337</v>
      </c>
      <c r="E791" s="848">
        <v>2017</v>
      </c>
      <c r="F791" s="849" t="s">
        <v>3338</v>
      </c>
      <c r="G791" s="693" t="s">
        <v>3339</v>
      </c>
      <c r="H791" s="848" t="s">
        <v>3340</v>
      </c>
      <c r="I791" s="693" t="s">
        <v>3339</v>
      </c>
      <c r="J791" s="847">
        <v>2823784</v>
      </c>
      <c r="K791" s="847">
        <v>3514226</v>
      </c>
      <c r="L791" s="841">
        <v>32906626</v>
      </c>
      <c r="M791" s="847">
        <v>76480579</v>
      </c>
      <c r="N791" s="839">
        <f>Indicadores[[#This Row],[Ventas]]/Indicadores[[#This Row],[Activos totales]]</f>
        <v>2.3241695760604566</v>
      </c>
      <c r="O791" s="837">
        <f>IF(Indicadores[[#This Row],[Ventas]]=0,0,Indicadores[[#This Row],[EBITDA]]/Indicadores[[#This Row],[Ventas]])</f>
        <v>4.5949259876811338E-2</v>
      </c>
      <c r="P791" s="837">
        <f>IF(Indicadores[[#This Row],[Ventas]]=0,0,Indicadores[[#This Row],[UAI]]/Indicadores[[#This Row],[Ventas]])</f>
        <v>3.6921582405907254E-2</v>
      </c>
      <c r="Q791" s="837">
        <f>IFERROR(Indicadores[[#This Row],[Ventas]]/Indicadores[[#This Row],[Activos totales]],0)</f>
        <v>2.3241695760604566</v>
      </c>
    </row>
    <row r="792" spans="1:17" hidden="1" x14ac:dyDescent="0.35">
      <c r="A792" s="13" t="str">
        <f>MID(Indicadores[[#This Row],[CIIU]],2,4)</f>
        <v>8020</v>
      </c>
      <c r="B792" s="13" t="str">
        <f>Indicadores[[#This Row],[CIIU]]&amp;Indicadores[[#This Row],[Año]]</f>
        <v>N80202017</v>
      </c>
      <c r="C792" s="14" t="s">
        <v>3303</v>
      </c>
      <c r="D792" s="14" t="s">
        <v>3337</v>
      </c>
      <c r="E792" s="848">
        <v>2017</v>
      </c>
      <c r="F792" s="849" t="s">
        <v>3341</v>
      </c>
      <c r="G792" s="838" t="s">
        <v>3342</v>
      </c>
      <c r="H792" s="848" t="s">
        <v>3343</v>
      </c>
      <c r="I792" s="693" t="s">
        <v>3342</v>
      </c>
      <c r="J792" s="847">
        <v>643917</v>
      </c>
      <c r="K792" s="847">
        <v>706705</v>
      </c>
      <c r="L792" s="841">
        <v>12706959</v>
      </c>
      <c r="M792" s="847">
        <v>2960171</v>
      </c>
      <c r="N792" s="839">
        <f>Indicadores[[#This Row],[Ventas]]/Indicadores[[#This Row],[Activos totales]]</f>
        <v>0.23295668145305262</v>
      </c>
      <c r="O792" s="837">
        <f>IF(Indicadores[[#This Row],[Ventas]]=0,0,Indicadores[[#This Row],[EBITDA]]/Indicadores[[#This Row],[Ventas]])</f>
        <v>0.23873789723634209</v>
      </c>
      <c r="P792" s="837">
        <f>IF(Indicadores[[#This Row],[Ventas]]=0,0,Indicadores[[#This Row],[UAI]]/Indicadores[[#This Row],[Ventas]])</f>
        <v>0.21752696043573158</v>
      </c>
      <c r="Q792" s="837">
        <f>IFERROR(Indicadores[[#This Row],[Ventas]]/Indicadores[[#This Row],[Activos totales]],0)</f>
        <v>0.23295668145305262</v>
      </c>
    </row>
    <row r="793" spans="1:17" hidden="1" x14ac:dyDescent="0.35">
      <c r="A793" s="13" t="str">
        <f>MID(Indicadores[[#This Row],[CIIU]],2,4)</f>
        <v>8110</v>
      </c>
      <c r="B793" s="13" t="str">
        <f>Indicadores[[#This Row],[CIIU]]&amp;Indicadores[[#This Row],[Año]]</f>
        <v>N81102017</v>
      </c>
      <c r="C793" s="14" t="s">
        <v>3303</v>
      </c>
      <c r="D793" s="14" t="s">
        <v>3344</v>
      </c>
      <c r="E793" s="848">
        <v>2017</v>
      </c>
      <c r="F793" s="849" t="s">
        <v>3345</v>
      </c>
      <c r="G793" s="693" t="s">
        <v>3346</v>
      </c>
      <c r="H793" s="848" t="s">
        <v>3347</v>
      </c>
      <c r="I793" s="693" t="s">
        <v>3346</v>
      </c>
      <c r="J793" s="847">
        <v>5700322</v>
      </c>
      <c r="K793" s="847">
        <v>6568128</v>
      </c>
      <c r="L793" s="841">
        <v>23810928</v>
      </c>
      <c r="M793" s="847">
        <v>41500804</v>
      </c>
      <c r="N793" s="839">
        <f>Indicadores[[#This Row],[Ventas]]/Indicadores[[#This Row],[Activos totales]]</f>
        <v>1.7429309769027062</v>
      </c>
      <c r="O793" s="837">
        <f>IF(Indicadores[[#This Row],[Ventas]]=0,0,Indicadores[[#This Row],[EBITDA]]/Indicadores[[#This Row],[Ventas]])</f>
        <v>0.15826507843076967</v>
      </c>
      <c r="P793" s="837">
        <f>IF(Indicadores[[#This Row],[Ventas]]=0,0,Indicadores[[#This Row],[UAI]]/Indicadores[[#This Row],[Ventas]])</f>
        <v>0.13735449559001314</v>
      </c>
      <c r="Q793" s="837">
        <f>IFERROR(Indicadores[[#This Row],[Ventas]]/Indicadores[[#This Row],[Activos totales]],0)</f>
        <v>1.7429309769027062</v>
      </c>
    </row>
    <row r="794" spans="1:17" hidden="1" x14ac:dyDescent="0.35">
      <c r="A794" s="13" t="str">
        <f>MID(Indicadores[[#This Row],[CIIU]],2,4)</f>
        <v>8121</v>
      </c>
      <c r="B794" s="13" t="str">
        <f>Indicadores[[#This Row],[CIIU]]&amp;Indicadores[[#This Row],[Año]]</f>
        <v>N81212017</v>
      </c>
      <c r="C794" s="14" t="s">
        <v>3303</v>
      </c>
      <c r="D794" s="14" t="s">
        <v>3344</v>
      </c>
      <c r="E794" s="848">
        <v>2017</v>
      </c>
      <c r="F794" s="849" t="s">
        <v>3348</v>
      </c>
      <c r="G794" s="693" t="s">
        <v>3349</v>
      </c>
      <c r="H794" s="848" t="s">
        <v>3350</v>
      </c>
      <c r="I794" s="693" t="s">
        <v>3349</v>
      </c>
      <c r="J794" s="847">
        <v>22350070</v>
      </c>
      <c r="K794" s="847">
        <v>33217342</v>
      </c>
      <c r="L794" s="841">
        <v>259991882</v>
      </c>
      <c r="M794" s="847">
        <v>735165450</v>
      </c>
      <c r="N794" s="839">
        <f>Indicadores[[#This Row],[Ventas]]/Indicadores[[#This Row],[Activos totales]]</f>
        <v>2.8276477109389129</v>
      </c>
      <c r="O794" s="837">
        <f>IF(Indicadores[[#This Row],[Ventas]]=0,0,Indicadores[[#This Row],[EBITDA]]/Indicadores[[#This Row],[Ventas]])</f>
        <v>4.5183491688843648E-2</v>
      </c>
      <c r="P794" s="837">
        <f>IF(Indicadores[[#This Row],[Ventas]]=0,0,Indicadores[[#This Row],[UAI]]/Indicadores[[#This Row],[Ventas]])</f>
        <v>3.0401415082822514E-2</v>
      </c>
      <c r="Q794" s="837">
        <f>IFERROR(Indicadores[[#This Row],[Ventas]]/Indicadores[[#This Row],[Activos totales]],0)</f>
        <v>2.8276477109389129</v>
      </c>
    </row>
    <row r="795" spans="1:17" hidden="1" x14ac:dyDescent="0.35">
      <c r="A795" s="13" t="str">
        <f>MID(Indicadores[[#This Row],[CIIU]],2,4)</f>
        <v>8129</v>
      </c>
      <c r="B795" s="13" t="str">
        <f>Indicadores[[#This Row],[CIIU]]&amp;Indicadores[[#This Row],[Año]]</f>
        <v>N81292017</v>
      </c>
      <c r="C795" s="14" t="s">
        <v>3303</v>
      </c>
      <c r="D795" s="14" t="s">
        <v>3344</v>
      </c>
      <c r="E795" s="848">
        <v>2017</v>
      </c>
      <c r="F795" s="849" t="s">
        <v>3351</v>
      </c>
      <c r="G795" s="693" t="s">
        <v>3352</v>
      </c>
      <c r="H795" s="848" t="s">
        <v>3353</v>
      </c>
      <c r="I795" s="693" t="s">
        <v>3352</v>
      </c>
      <c r="J795" s="847">
        <v>17595088</v>
      </c>
      <c r="K795" s="847">
        <v>24756506</v>
      </c>
      <c r="L795" s="841">
        <v>195909872</v>
      </c>
      <c r="M795" s="847">
        <v>705586228</v>
      </c>
      <c r="N795" s="839">
        <f>Indicadores[[#This Row],[Ventas]]/Indicadores[[#This Row],[Activos totales]]</f>
        <v>3.6015858761829009</v>
      </c>
      <c r="O795" s="837">
        <f>IF(Indicadores[[#This Row],[Ventas]]=0,0,Indicadores[[#This Row],[EBITDA]]/Indicadores[[#This Row],[Ventas]])</f>
        <v>3.5086435955776617E-2</v>
      </c>
      <c r="P795" s="837">
        <f>IF(Indicadores[[#This Row],[Ventas]]=0,0,Indicadores[[#This Row],[UAI]]/Indicadores[[#This Row],[Ventas]])</f>
        <v>2.4936835927018688E-2</v>
      </c>
      <c r="Q795" s="837">
        <f>IFERROR(Indicadores[[#This Row],[Ventas]]/Indicadores[[#This Row],[Activos totales]],0)</f>
        <v>3.6015858761829009</v>
      </c>
    </row>
    <row r="796" spans="1:17" hidden="1" x14ac:dyDescent="0.35">
      <c r="A796" s="13" t="str">
        <f>MID(Indicadores[[#This Row],[CIIU]],2,4)</f>
        <v>8130</v>
      </c>
      <c r="B796" s="13" t="str">
        <f>Indicadores[[#This Row],[CIIU]]&amp;Indicadores[[#This Row],[Año]]</f>
        <v>N81302017</v>
      </c>
      <c r="C796" s="14" t="s">
        <v>3303</v>
      </c>
      <c r="D796" s="14" t="s">
        <v>3344</v>
      </c>
      <c r="E796" s="848">
        <v>2017</v>
      </c>
      <c r="F796" s="849" t="s">
        <v>3354</v>
      </c>
      <c r="G796" s="693" t="s">
        <v>3355</v>
      </c>
      <c r="H796" s="848" t="s">
        <v>3356</v>
      </c>
      <c r="I796" s="693" t="s">
        <v>3355</v>
      </c>
      <c r="J796" s="847">
        <v>864012</v>
      </c>
      <c r="K796" s="847">
        <v>1174965</v>
      </c>
      <c r="L796" s="841">
        <v>9890745</v>
      </c>
      <c r="M796" s="847">
        <v>9614311</v>
      </c>
      <c r="N796" s="839">
        <f>Indicadores[[#This Row],[Ventas]]/Indicadores[[#This Row],[Activos totales]]</f>
        <v>0.9720512458869377</v>
      </c>
      <c r="O796" s="837">
        <f>IF(Indicadores[[#This Row],[Ventas]]=0,0,Indicadores[[#This Row],[EBITDA]]/Indicadores[[#This Row],[Ventas]])</f>
        <v>0.12221000548037192</v>
      </c>
      <c r="P796" s="837">
        <f>IF(Indicadores[[#This Row],[Ventas]]=0,0,Indicadores[[#This Row],[UAI]]/Indicadores[[#This Row],[Ventas]])</f>
        <v>8.9867282221263695E-2</v>
      </c>
      <c r="Q796" s="837">
        <f>IFERROR(Indicadores[[#This Row],[Ventas]]/Indicadores[[#This Row],[Activos totales]],0)</f>
        <v>0.9720512458869377</v>
      </c>
    </row>
    <row r="797" spans="1:17" hidden="1" x14ac:dyDescent="0.35">
      <c r="A797" s="13" t="str">
        <f>MID(Indicadores[[#This Row],[CIIU]],2,4)</f>
        <v>8211</v>
      </c>
      <c r="B797" s="13" t="str">
        <f>Indicadores[[#This Row],[CIIU]]&amp;Indicadores[[#This Row],[Año]]</f>
        <v>N82112017</v>
      </c>
      <c r="C797" s="14" t="s">
        <v>3303</v>
      </c>
      <c r="D797" s="14" t="s">
        <v>3357</v>
      </c>
      <c r="E797" s="848">
        <v>2017</v>
      </c>
      <c r="F797" s="849" t="s">
        <v>3358</v>
      </c>
      <c r="G797" s="693" t="s">
        <v>3359</v>
      </c>
      <c r="H797" s="848" t="s">
        <v>3360</v>
      </c>
      <c r="I797" s="693" t="s">
        <v>3359</v>
      </c>
      <c r="J797" s="847">
        <v>32623102</v>
      </c>
      <c r="K797" s="847">
        <v>23466773</v>
      </c>
      <c r="L797" s="841">
        <v>376190015</v>
      </c>
      <c r="M797" s="847">
        <v>99072846</v>
      </c>
      <c r="N797" s="839">
        <f>Indicadores[[#This Row],[Ventas]]/Indicadores[[#This Row],[Activos totales]]</f>
        <v>0.26335852109206037</v>
      </c>
      <c r="O797" s="837">
        <f>IF(Indicadores[[#This Row],[Ventas]]=0,0,Indicadores[[#This Row],[EBITDA]]/Indicadores[[#This Row],[Ventas]])</f>
        <v>0.2368638224039713</v>
      </c>
      <c r="P797" s="837">
        <f>IF(Indicadores[[#This Row],[Ventas]]=0,0,Indicadores[[#This Row],[UAI]]/Indicadores[[#This Row],[Ventas]])</f>
        <v>0.32928398968169342</v>
      </c>
      <c r="Q797" s="837">
        <f>IFERROR(Indicadores[[#This Row],[Ventas]]/Indicadores[[#This Row],[Activos totales]],0)</f>
        <v>0.26335852109206037</v>
      </c>
    </row>
    <row r="798" spans="1:17" hidden="1" x14ac:dyDescent="0.35">
      <c r="A798" s="13" t="str">
        <f>MID(Indicadores[[#This Row],[CIIU]],2,4)</f>
        <v>8219</v>
      </c>
      <c r="B798" s="13" t="str">
        <f>Indicadores[[#This Row],[CIIU]]&amp;Indicadores[[#This Row],[Año]]</f>
        <v>N82192017</v>
      </c>
      <c r="C798" s="14" t="s">
        <v>3303</v>
      </c>
      <c r="D798" s="14" t="s">
        <v>3357</v>
      </c>
      <c r="E798" s="848">
        <v>2017</v>
      </c>
      <c r="F798" s="849" t="s">
        <v>3361</v>
      </c>
      <c r="G798" s="693" t="s">
        <v>3362</v>
      </c>
      <c r="H798" s="848" t="s">
        <v>3363</v>
      </c>
      <c r="I798" s="693" t="s">
        <v>3362</v>
      </c>
      <c r="J798" s="847">
        <v>1421270</v>
      </c>
      <c r="K798" s="847">
        <v>2128049</v>
      </c>
      <c r="L798" s="841">
        <v>8717680</v>
      </c>
      <c r="M798" s="847">
        <v>6990438</v>
      </c>
      <c r="N798" s="839">
        <f>Indicadores[[#This Row],[Ventas]]/Indicadores[[#This Row],[Activos totales]]</f>
        <v>0.801869075258555</v>
      </c>
      <c r="O798" s="837">
        <f>IF(Indicadores[[#This Row],[Ventas]]=0,0,Indicadores[[#This Row],[EBITDA]]/Indicadores[[#This Row],[Ventas]])</f>
        <v>0.3044228416016278</v>
      </c>
      <c r="P798" s="837">
        <f>IF(Indicadores[[#This Row],[Ventas]]=0,0,Indicadores[[#This Row],[UAI]]/Indicadores[[#This Row],[Ventas]])</f>
        <v>0.20331630149641552</v>
      </c>
      <c r="Q798" s="837">
        <f>IFERROR(Indicadores[[#This Row],[Ventas]]/Indicadores[[#This Row],[Activos totales]],0)</f>
        <v>0.801869075258555</v>
      </c>
    </row>
    <row r="799" spans="1:17" hidden="1" x14ac:dyDescent="0.35">
      <c r="A799" s="13" t="str">
        <f>MID(Indicadores[[#This Row],[CIIU]],2,4)</f>
        <v>8220</v>
      </c>
      <c r="B799" s="13" t="str">
        <f>Indicadores[[#This Row],[CIIU]]&amp;Indicadores[[#This Row],[Año]]</f>
        <v>N82202017</v>
      </c>
      <c r="C799" s="14" t="s">
        <v>3303</v>
      </c>
      <c r="D799" s="14" t="s">
        <v>3357</v>
      </c>
      <c r="E799" s="848">
        <v>2017</v>
      </c>
      <c r="F799" s="849" t="s">
        <v>3364</v>
      </c>
      <c r="G799" s="693" t="s">
        <v>3365</v>
      </c>
      <c r="H799" s="848" t="s">
        <v>3366</v>
      </c>
      <c r="I799" s="693" t="s">
        <v>3365</v>
      </c>
      <c r="J799" s="847">
        <v>247316189.68000001</v>
      </c>
      <c r="K799" s="847">
        <v>423991507.43000001</v>
      </c>
      <c r="L799" s="841">
        <v>2496767137.1300001</v>
      </c>
      <c r="M799" s="847">
        <v>3351230018.6999998</v>
      </c>
      <c r="N799" s="839">
        <f>Indicadores[[#This Row],[Ventas]]/Indicadores[[#This Row],[Activos totales]]</f>
        <v>1.342227702721285</v>
      </c>
      <c r="O799" s="837">
        <f>IF(Indicadores[[#This Row],[Ventas]]=0,0,Indicadores[[#This Row],[EBITDA]]/Indicadores[[#This Row],[Ventas]])</f>
        <v>0.12651817543532082</v>
      </c>
      <c r="P799" s="837">
        <f>IF(Indicadores[[#This Row],[Ventas]]=0,0,Indicadores[[#This Row],[UAI]]/Indicadores[[#This Row],[Ventas]])</f>
        <v>7.3798631636732073E-2</v>
      </c>
      <c r="Q799" s="837">
        <f>IFERROR(Indicadores[[#This Row],[Ventas]]/Indicadores[[#This Row],[Activos totales]],0)</f>
        <v>1.342227702721285</v>
      </c>
    </row>
    <row r="800" spans="1:17" hidden="1" x14ac:dyDescent="0.35">
      <c r="A800" s="13" t="str">
        <f>MID(Indicadores[[#This Row],[CIIU]],2,4)</f>
        <v>8230</v>
      </c>
      <c r="B800" s="13" t="str">
        <f>Indicadores[[#This Row],[CIIU]]&amp;Indicadores[[#This Row],[Año]]</f>
        <v>N82302017</v>
      </c>
      <c r="C800" s="14" t="s">
        <v>3303</v>
      </c>
      <c r="D800" s="14" t="s">
        <v>3357</v>
      </c>
      <c r="E800" s="848">
        <v>2017</v>
      </c>
      <c r="F800" s="849" t="s">
        <v>3367</v>
      </c>
      <c r="G800" s="693" t="s">
        <v>3368</v>
      </c>
      <c r="H800" s="848" t="s">
        <v>3369</v>
      </c>
      <c r="I800" s="693" t="s">
        <v>3368</v>
      </c>
      <c r="J800" s="847">
        <v>-1097261</v>
      </c>
      <c r="K800" s="847">
        <v>12562981</v>
      </c>
      <c r="L800" s="841">
        <v>531020980</v>
      </c>
      <c r="M800" s="847">
        <v>168786444</v>
      </c>
      <c r="N800" s="839">
        <f>Indicadores[[#This Row],[Ventas]]/Indicadores[[#This Row],[Activos totales]]</f>
        <v>0.31785268446455733</v>
      </c>
      <c r="O800" s="837">
        <f>IF(Indicadores[[#This Row],[Ventas]]=0,0,Indicadores[[#This Row],[EBITDA]]/Indicadores[[#This Row],[Ventas]])</f>
        <v>7.4431220317669591E-2</v>
      </c>
      <c r="P800" s="837">
        <f>IF(Indicadores[[#This Row],[Ventas]]=0,0,Indicadores[[#This Row],[UAI]]/Indicadores[[#This Row],[Ventas]])</f>
        <v>-6.5008834477252213E-3</v>
      </c>
      <c r="Q800" s="837">
        <f>IFERROR(Indicadores[[#This Row],[Ventas]]/Indicadores[[#This Row],[Activos totales]],0)</f>
        <v>0.31785268446455733</v>
      </c>
    </row>
    <row r="801" spans="1:17" hidden="1" x14ac:dyDescent="0.35">
      <c r="A801" s="13" t="str">
        <f>MID(Indicadores[[#This Row],[CIIU]],2,4)</f>
        <v>8291</v>
      </c>
      <c r="B801" s="13" t="str">
        <f>Indicadores[[#This Row],[CIIU]]&amp;Indicadores[[#This Row],[Año]]</f>
        <v>N82912017</v>
      </c>
      <c r="C801" s="14" t="s">
        <v>3303</v>
      </c>
      <c r="D801" s="14" t="s">
        <v>3357</v>
      </c>
      <c r="E801" s="848">
        <v>2017</v>
      </c>
      <c r="F801" s="849" t="s">
        <v>3370</v>
      </c>
      <c r="G801" s="693" t="s">
        <v>3371</v>
      </c>
      <c r="H801" s="848" t="s">
        <v>3372</v>
      </c>
      <c r="I801" s="693" t="s">
        <v>3371</v>
      </c>
      <c r="J801" s="847">
        <v>86691771</v>
      </c>
      <c r="K801" s="847">
        <v>72272962</v>
      </c>
      <c r="L801" s="841">
        <v>353554183</v>
      </c>
      <c r="M801" s="847">
        <v>296332442</v>
      </c>
      <c r="N801" s="839">
        <f>Indicadores[[#This Row],[Ventas]]/Indicadores[[#This Row],[Activos totales]]</f>
        <v>0.83815283837272547</v>
      </c>
      <c r="O801" s="837">
        <f>IF(Indicadores[[#This Row],[Ventas]]=0,0,Indicadores[[#This Row],[EBITDA]]/Indicadores[[#This Row],[Ventas]])</f>
        <v>0.24389149399983684</v>
      </c>
      <c r="P801" s="837">
        <f>IF(Indicadores[[#This Row],[Ventas]]=0,0,Indicadores[[#This Row],[UAI]]/Indicadores[[#This Row],[Ventas]])</f>
        <v>0.29254903855582576</v>
      </c>
      <c r="Q801" s="837">
        <f>IFERROR(Indicadores[[#This Row],[Ventas]]/Indicadores[[#This Row],[Activos totales]],0)</f>
        <v>0.83815283837272547</v>
      </c>
    </row>
    <row r="802" spans="1:17" hidden="1" x14ac:dyDescent="0.35">
      <c r="A802" s="13" t="str">
        <f>MID(Indicadores[[#This Row],[CIIU]],2,4)</f>
        <v>8292</v>
      </c>
      <c r="B802" s="13" t="str">
        <f>Indicadores[[#This Row],[CIIU]]&amp;Indicadores[[#This Row],[Año]]</f>
        <v>N82922017</v>
      </c>
      <c r="C802" s="14" t="s">
        <v>3303</v>
      </c>
      <c r="D802" s="14" t="s">
        <v>3357</v>
      </c>
      <c r="E802" s="848">
        <v>2017</v>
      </c>
      <c r="F802" s="849" t="s">
        <v>3373</v>
      </c>
      <c r="G802" s="693" t="s">
        <v>3374</v>
      </c>
      <c r="H802" s="848" t="s">
        <v>3375</v>
      </c>
      <c r="I802" s="693" t="s">
        <v>3374</v>
      </c>
      <c r="J802" s="847">
        <v>13824548</v>
      </c>
      <c r="K802" s="847">
        <v>20016834</v>
      </c>
      <c r="L802" s="841">
        <v>127027275</v>
      </c>
      <c r="M802" s="847">
        <v>236054638</v>
      </c>
      <c r="N802" s="839">
        <f>Indicadores[[#This Row],[Ventas]]/Indicadores[[#This Row],[Activos totales]]</f>
        <v>1.8582988417251334</v>
      </c>
      <c r="O802" s="837">
        <f>IF(Indicadores[[#This Row],[Ventas]]=0,0,Indicadores[[#This Row],[EBITDA]]/Indicadores[[#This Row],[Ventas]])</f>
        <v>8.4797461170832825E-2</v>
      </c>
      <c r="P802" s="837">
        <f>IF(Indicadores[[#This Row],[Ventas]]=0,0,Indicadores[[#This Row],[UAI]]/Indicadores[[#This Row],[Ventas]])</f>
        <v>5.8565034422242535E-2</v>
      </c>
      <c r="Q802" s="837">
        <f>IFERROR(Indicadores[[#This Row],[Ventas]]/Indicadores[[#This Row],[Activos totales]],0)</f>
        <v>1.8582988417251334</v>
      </c>
    </row>
    <row r="803" spans="1:17" hidden="1" x14ac:dyDescent="0.35">
      <c r="A803" s="13" t="str">
        <f>MID(Indicadores[[#This Row],[CIIU]],2,4)</f>
        <v>8299</v>
      </c>
      <c r="B803" s="13" t="str">
        <f>Indicadores[[#This Row],[CIIU]]&amp;Indicadores[[#This Row],[Año]]</f>
        <v>N82992017</v>
      </c>
      <c r="C803" s="14" t="s">
        <v>3303</v>
      </c>
      <c r="D803" s="14" t="s">
        <v>3357</v>
      </c>
      <c r="E803" s="848">
        <v>2017</v>
      </c>
      <c r="F803" s="849" t="s">
        <v>3376</v>
      </c>
      <c r="G803" s="693" t="s">
        <v>3377</v>
      </c>
      <c r="H803" s="848" t="s">
        <v>3378</v>
      </c>
      <c r="I803" s="693" t="s">
        <v>3377</v>
      </c>
      <c r="J803" s="847">
        <v>520031134</v>
      </c>
      <c r="K803" s="847">
        <v>479805004</v>
      </c>
      <c r="L803" s="841">
        <v>8750128890</v>
      </c>
      <c r="M803" s="847">
        <v>2671690763</v>
      </c>
      <c r="N803" s="839">
        <f>Indicadores[[#This Row],[Ventas]]/Indicadores[[#This Row],[Activos totales]]</f>
        <v>0.30533158957844792</v>
      </c>
      <c r="O803" s="837">
        <f>IF(Indicadores[[#This Row],[Ventas]]=0,0,Indicadores[[#This Row],[EBITDA]]/Indicadores[[#This Row],[Ventas]])</f>
        <v>0.17958852523082963</v>
      </c>
      <c r="P803" s="837">
        <f>IF(Indicadores[[#This Row],[Ventas]]=0,0,Indicadores[[#This Row],[UAI]]/Indicadores[[#This Row],[Ventas]])</f>
        <v>0.19464495711923827</v>
      </c>
      <c r="Q803" s="837">
        <f>IFERROR(Indicadores[[#This Row],[Ventas]]/Indicadores[[#This Row],[Activos totales]],0)</f>
        <v>0.30533158957844792</v>
      </c>
    </row>
    <row r="804" spans="1:17" hidden="1" x14ac:dyDescent="0.35">
      <c r="A804" s="13" t="str">
        <f>MID(Indicadores[[#This Row],[CIIU]],2,4)</f>
        <v>8411</v>
      </c>
      <c r="B804" s="13" t="str">
        <f>Indicadores[[#This Row],[CIIU]]&amp;Indicadores[[#This Row],[Año]]</f>
        <v>O84112017</v>
      </c>
      <c r="C804" s="14" t="s">
        <v>3379</v>
      </c>
      <c r="D804" s="14" t="s">
        <v>3380</v>
      </c>
      <c r="E804" s="848">
        <v>2017</v>
      </c>
      <c r="F804" s="849" t="s">
        <v>3381</v>
      </c>
      <c r="G804" s="838" t="e">
        <v>#N/A</v>
      </c>
      <c r="H804" s="848" t="s">
        <v>3382</v>
      </c>
      <c r="I804" s="693" t="s">
        <v>3383</v>
      </c>
      <c r="J804" s="847">
        <v>-27661</v>
      </c>
      <c r="K804" s="847">
        <v>-185736</v>
      </c>
      <c r="L804" s="841">
        <v>15124511</v>
      </c>
      <c r="M804" s="847">
        <v>0</v>
      </c>
      <c r="N804" s="839">
        <f>Indicadores[[#This Row],[Ventas]]/Indicadores[[#This Row],[Activos totales]]</f>
        <v>0</v>
      </c>
      <c r="O804" s="837">
        <f>IF(Indicadores[[#This Row],[Ventas]]=0,0,Indicadores[[#This Row],[EBITDA]]/Indicadores[[#This Row],[Ventas]])</f>
        <v>0</v>
      </c>
      <c r="P804" s="837">
        <f>IF(Indicadores[[#This Row],[Ventas]]=0,0,Indicadores[[#This Row],[UAI]]/Indicadores[[#This Row],[Ventas]])</f>
        <v>0</v>
      </c>
      <c r="Q804" s="837">
        <f>IFERROR(Indicadores[[#This Row],[Ventas]]/Indicadores[[#This Row],[Activos totales]],0)</f>
        <v>0</v>
      </c>
    </row>
    <row r="805" spans="1:17" hidden="1" x14ac:dyDescent="0.35">
      <c r="A805" s="13" t="str">
        <f>MID(Indicadores[[#This Row],[CIIU]],2,4)</f>
        <v>8413</v>
      </c>
      <c r="B805" s="13" t="str">
        <f>Indicadores[[#This Row],[CIIU]]&amp;Indicadores[[#This Row],[Año]]</f>
        <v>O84132017</v>
      </c>
      <c r="C805" s="14" t="s">
        <v>3379</v>
      </c>
      <c r="D805" s="14" t="s">
        <v>3380</v>
      </c>
      <c r="E805" s="848">
        <v>2017</v>
      </c>
      <c r="F805" s="849" t="s">
        <v>3384</v>
      </c>
      <c r="G805" s="838" t="e">
        <v>#N/A</v>
      </c>
      <c r="H805" s="848" t="s">
        <v>3385</v>
      </c>
      <c r="I805" s="693" t="s">
        <v>3386</v>
      </c>
      <c r="J805" s="847">
        <v>-225074</v>
      </c>
      <c r="K805" s="847">
        <v>-225074</v>
      </c>
      <c r="L805" s="841">
        <v>693511</v>
      </c>
      <c r="M805" s="847">
        <v>2332013</v>
      </c>
      <c r="N805" s="839">
        <f>Indicadores[[#This Row],[Ventas]]/Indicadores[[#This Row],[Activos totales]]</f>
        <v>3.3626186174408192</v>
      </c>
      <c r="O805" s="837">
        <f>IF(Indicadores[[#This Row],[Ventas]]=0,0,Indicadores[[#This Row],[EBITDA]]/Indicadores[[#This Row],[Ventas]])</f>
        <v>-9.6514899359480419E-2</v>
      </c>
      <c r="P805" s="837">
        <f>IF(Indicadores[[#This Row],[Ventas]]=0,0,Indicadores[[#This Row],[UAI]]/Indicadores[[#This Row],[Ventas]])</f>
        <v>-9.6514899359480419E-2</v>
      </c>
      <c r="Q805" s="837">
        <f>IFERROR(Indicadores[[#This Row],[Ventas]]/Indicadores[[#This Row],[Activos totales]],0)</f>
        <v>3.3626186174408192</v>
      </c>
    </row>
    <row r="806" spans="1:17" hidden="1" x14ac:dyDescent="0.35">
      <c r="A806" s="13" t="str">
        <f>MID(Indicadores[[#This Row],[CIIU]],2,4)</f>
        <v>8414</v>
      </c>
      <c r="B806" s="13" t="str">
        <f>Indicadores[[#This Row],[CIIU]]&amp;Indicadores[[#This Row],[Año]]</f>
        <v>O84142017</v>
      </c>
      <c r="C806" s="14" t="s">
        <v>3379</v>
      </c>
      <c r="D806" s="14" t="s">
        <v>3380</v>
      </c>
      <c r="E806" s="848">
        <v>2017</v>
      </c>
      <c r="F806" s="849" t="s">
        <v>3387</v>
      </c>
      <c r="G806" s="693" t="s">
        <v>3388</v>
      </c>
      <c r="H806" s="848" t="s">
        <v>3389</v>
      </c>
      <c r="I806" s="693" t="s">
        <v>3388</v>
      </c>
      <c r="J806" s="847">
        <v>-286265</v>
      </c>
      <c r="K806" s="847">
        <v>-286265</v>
      </c>
      <c r="L806" s="841">
        <v>9752605</v>
      </c>
      <c r="M806" s="847">
        <v>0</v>
      </c>
      <c r="N806" s="839">
        <f>Indicadores[[#This Row],[Ventas]]/Indicadores[[#This Row],[Activos totales]]</f>
        <v>0</v>
      </c>
      <c r="O806" s="837">
        <f>IF(Indicadores[[#This Row],[Ventas]]=0,0,Indicadores[[#This Row],[EBITDA]]/Indicadores[[#This Row],[Ventas]])</f>
        <v>0</v>
      </c>
      <c r="P806" s="837">
        <f>IF(Indicadores[[#This Row],[Ventas]]=0,0,Indicadores[[#This Row],[UAI]]/Indicadores[[#This Row],[Ventas]])</f>
        <v>0</v>
      </c>
      <c r="Q806" s="837">
        <f>IFERROR(Indicadores[[#This Row],[Ventas]]/Indicadores[[#This Row],[Activos totales]],0)</f>
        <v>0</v>
      </c>
    </row>
    <row r="807" spans="1:17" hidden="1" x14ac:dyDescent="0.35">
      <c r="A807" s="13" t="str">
        <f>MID(Indicadores[[#This Row],[CIIU]],2,4)</f>
        <v>8423</v>
      </c>
      <c r="B807" s="13" t="str">
        <f>Indicadores[[#This Row],[CIIU]]&amp;Indicadores[[#This Row],[Año]]</f>
        <v>O84232017</v>
      </c>
      <c r="C807" s="14" t="s">
        <v>3379</v>
      </c>
      <c r="D807" s="14" t="s">
        <v>3380</v>
      </c>
      <c r="E807" s="848">
        <v>2017</v>
      </c>
      <c r="F807" s="849" t="s">
        <v>3393</v>
      </c>
      <c r="G807" s="838" t="e">
        <v>#N/A</v>
      </c>
      <c r="H807" s="848" t="s">
        <v>3394</v>
      </c>
      <c r="I807" s="693" t="s">
        <v>3395</v>
      </c>
      <c r="J807" s="847">
        <v>216603</v>
      </c>
      <c r="K807" s="847">
        <v>260983</v>
      </c>
      <c r="L807" s="841">
        <v>7617014</v>
      </c>
      <c r="M807" s="847">
        <v>3476623</v>
      </c>
      <c r="N807" s="839">
        <f>Indicadores[[#This Row],[Ventas]]/Indicadores[[#This Row],[Activos totales]]</f>
        <v>0.45642859524742896</v>
      </c>
      <c r="O807" s="837">
        <f>IF(Indicadores[[#This Row],[Ventas]]=0,0,Indicadores[[#This Row],[EBITDA]]/Indicadores[[#This Row],[Ventas]])</f>
        <v>7.506796106451577E-2</v>
      </c>
      <c r="P807" s="837">
        <f>IF(Indicadores[[#This Row],[Ventas]]=0,0,Indicadores[[#This Row],[UAI]]/Indicadores[[#This Row],[Ventas]])</f>
        <v>6.2302700062675763E-2</v>
      </c>
      <c r="Q807" s="837">
        <f>IFERROR(Indicadores[[#This Row],[Ventas]]/Indicadores[[#This Row],[Activos totales]],0)</f>
        <v>0.45642859524742896</v>
      </c>
    </row>
    <row r="808" spans="1:17" hidden="1" x14ac:dyDescent="0.35">
      <c r="A808" s="13" t="str">
        <f>MID(Indicadores[[#This Row],[CIIU]],2,4)</f>
        <v>8430</v>
      </c>
      <c r="B808" s="13" t="str">
        <f>Indicadores[[#This Row],[CIIU]]&amp;Indicadores[[#This Row],[Año]]</f>
        <v>O84302017</v>
      </c>
      <c r="C808" s="14" t="s">
        <v>3379</v>
      </c>
      <c r="D808" s="14" t="s">
        <v>3380</v>
      </c>
      <c r="E808" s="848">
        <v>2017</v>
      </c>
      <c r="F808" s="849" t="s">
        <v>3396</v>
      </c>
      <c r="G808" s="838" t="s">
        <v>3397</v>
      </c>
      <c r="H808" s="848" t="s">
        <v>3398</v>
      </c>
      <c r="I808" s="693" t="s">
        <v>3397</v>
      </c>
      <c r="J808" s="847">
        <v>495694</v>
      </c>
      <c r="K808" s="847">
        <v>566306</v>
      </c>
      <c r="L808" s="841">
        <v>10015460</v>
      </c>
      <c r="M808" s="847">
        <v>8489843</v>
      </c>
      <c r="N808" s="839">
        <f>Indicadores[[#This Row],[Ventas]]/Indicadores[[#This Row],[Activos totales]]</f>
        <v>0.84767379631090334</v>
      </c>
      <c r="O808" s="837">
        <f>IF(Indicadores[[#This Row],[Ventas]]=0,0,Indicadores[[#This Row],[EBITDA]]/Indicadores[[#This Row],[Ventas]])</f>
        <v>6.6703942581741504E-2</v>
      </c>
      <c r="P808" s="837">
        <f>IF(Indicadores[[#This Row],[Ventas]]=0,0,Indicadores[[#This Row],[UAI]]/Indicadores[[#This Row],[Ventas]])</f>
        <v>5.8386709860241234E-2</v>
      </c>
      <c r="Q808" s="837">
        <f>IFERROR(Indicadores[[#This Row],[Ventas]]/Indicadores[[#This Row],[Activos totales]],0)</f>
        <v>0.84767379631090334</v>
      </c>
    </row>
    <row r="809" spans="1:17" hidden="1" x14ac:dyDescent="0.35">
      <c r="A809" s="13" t="str">
        <f>MID(Indicadores[[#This Row],[CIIU]],2,4)</f>
        <v>8511</v>
      </c>
      <c r="B809" s="13" t="str">
        <f>Indicadores[[#This Row],[CIIU]]&amp;Indicadores[[#This Row],[Año]]</f>
        <v>P85112017</v>
      </c>
      <c r="C809" s="14" t="s">
        <v>3399</v>
      </c>
      <c r="D809" s="14" t="s">
        <v>3400</v>
      </c>
      <c r="E809" s="848">
        <v>2017</v>
      </c>
      <c r="F809" s="849" t="s">
        <v>3401</v>
      </c>
      <c r="G809" s="693" t="s">
        <v>3402</v>
      </c>
      <c r="H809" s="848" t="s">
        <v>3403</v>
      </c>
      <c r="I809" s="693" t="s">
        <v>3402</v>
      </c>
      <c r="J809" s="847">
        <v>107063</v>
      </c>
      <c r="K809" s="847">
        <v>116194</v>
      </c>
      <c r="L809" s="841">
        <v>2584733</v>
      </c>
      <c r="M809" s="847">
        <v>6379184</v>
      </c>
      <c r="N809" s="839">
        <f>Indicadores[[#This Row],[Ventas]]/Indicadores[[#This Row],[Activos totales]]</f>
        <v>2.468024356867808</v>
      </c>
      <c r="O809" s="837">
        <f>IF(Indicadores[[#This Row],[Ventas]]=0,0,Indicadores[[#This Row],[EBITDA]]/Indicadores[[#This Row],[Ventas]])</f>
        <v>1.8214555341247406E-2</v>
      </c>
      <c r="P809" s="837">
        <f>IF(Indicadores[[#This Row],[Ventas]]=0,0,Indicadores[[#This Row],[UAI]]/Indicadores[[#This Row],[Ventas]])</f>
        <v>1.6783181046353263E-2</v>
      </c>
      <c r="Q809" s="837">
        <f>IFERROR(Indicadores[[#This Row],[Ventas]]/Indicadores[[#This Row],[Activos totales]],0)</f>
        <v>2.468024356867808</v>
      </c>
    </row>
    <row r="810" spans="1:17" hidden="1" x14ac:dyDescent="0.35">
      <c r="A810" s="13" t="str">
        <f>MID(Indicadores[[#This Row],[CIIU]],2,4)</f>
        <v>8512</v>
      </c>
      <c r="B810" s="13" t="str">
        <f>Indicadores[[#This Row],[CIIU]]&amp;Indicadores[[#This Row],[Año]]</f>
        <v>P85122017</v>
      </c>
      <c r="C810" s="14" t="s">
        <v>3399</v>
      </c>
      <c r="D810" s="14" t="s">
        <v>3400</v>
      </c>
      <c r="E810" s="848">
        <v>2017</v>
      </c>
      <c r="F810" s="849" t="s">
        <v>3404</v>
      </c>
      <c r="G810" s="693" t="s">
        <v>3405</v>
      </c>
      <c r="H810" s="848" t="s">
        <v>3406</v>
      </c>
      <c r="I810" s="693" t="s">
        <v>3405</v>
      </c>
      <c r="J810" s="847">
        <v>3671399</v>
      </c>
      <c r="K810" s="847">
        <v>6416459</v>
      </c>
      <c r="L810" s="841">
        <v>58736986</v>
      </c>
      <c r="M810" s="847">
        <v>52065941</v>
      </c>
      <c r="N810" s="839">
        <f>Indicadores[[#This Row],[Ventas]]/Indicadores[[#This Row],[Activos totales]]</f>
        <v>0.88642513934916578</v>
      </c>
      <c r="O810" s="837">
        <f>IF(Indicadores[[#This Row],[Ventas]]=0,0,Indicadores[[#This Row],[EBITDA]]/Indicadores[[#This Row],[Ventas]])</f>
        <v>0.12323716573181689</v>
      </c>
      <c r="P810" s="837">
        <f>IF(Indicadores[[#This Row],[Ventas]]=0,0,Indicadores[[#This Row],[UAI]]/Indicadores[[#This Row],[Ventas]])</f>
        <v>7.0514407873661589E-2</v>
      </c>
      <c r="Q810" s="837">
        <f>IFERROR(Indicadores[[#This Row],[Ventas]]/Indicadores[[#This Row],[Activos totales]],0)</f>
        <v>0.88642513934916578</v>
      </c>
    </row>
    <row r="811" spans="1:17" hidden="1" x14ac:dyDescent="0.35">
      <c r="A811" s="13" t="str">
        <f>MID(Indicadores[[#This Row],[CIIU]],2,4)</f>
        <v>8513</v>
      </c>
      <c r="B811" s="13" t="str">
        <f>Indicadores[[#This Row],[CIIU]]&amp;Indicadores[[#This Row],[Año]]</f>
        <v>P85132017</v>
      </c>
      <c r="C811" s="14" t="s">
        <v>3399</v>
      </c>
      <c r="D811" s="14" t="s">
        <v>3400</v>
      </c>
      <c r="E811" s="848">
        <v>2017</v>
      </c>
      <c r="F811" s="849" t="s">
        <v>3407</v>
      </c>
      <c r="G811" s="693" t="s">
        <v>3408</v>
      </c>
      <c r="H811" s="848" t="s">
        <v>3409</v>
      </c>
      <c r="I811" s="693" t="s">
        <v>3408</v>
      </c>
      <c r="J811" s="847">
        <v>894931</v>
      </c>
      <c r="K811" s="847">
        <v>5168053</v>
      </c>
      <c r="L811" s="841">
        <v>62542043</v>
      </c>
      <c r="M811" s="847">
        <v>19326149</v>
      </c>
      <c r="N811" s="839">
        <f>Indicadores[[#This Row],[Ventas]]/Indicadores[[#This Row],[Activos totales]]</f>
        <v>0.30901051633378845</v>
      </c>
      <c r="O811" s="837">
        <f>IF(Indicadores[[#This Row],[Ventas]]=0,0,Indicadores[[#This Row],[EBITDA]]/Indicadores[[#This Row],[Ventas]])</f>
        <v>0.267412457598252</v>
      </c>
      <c r="P811" s="837">
        <f>IF(Indicadores[[#This Row],[Ventas]]=0,0,Indicadores[[#This Row],[UAI]]/Indicadores[[#This Row],[Ventas]])</f>
        <v>4.6306742227848911E-2</v>
      </c>
      <c r="Q811" s="837">
        <f>IFERROR(Indicadores[[#This Row],[Ventas]]/Indicadores[[#This Row],[Activos totales]],0)</f>
        <v>0.30901051633378845</v>
      </c>
    </row>
    <row r="812" spans="1:17" hidden="1" x14ac:dyDescent="0.35">
      <c r="A812" s="13" t="str">
        <f>MID(Indicadores[[#This Row],[CIIU]],2,4)</f>
        <v>8521</v>
      </c>
      <c r="B812" s="13" t="str">
        <f>Indicadores[[#This Row],[CIIU]]&amp;Indicadores[[#This Row],[Año]]</f>
        <v>P85212017</v>
      </c>
      <c r="C812" s="14" t="s">
        <v>3399</v>
      </c>
      <c r="D812" s="14" t="s">
        <v>3400</v>
      </c>
      <c r="E812" s="848">
        <v>2017</v>
      </c>
      <c r="F812" s="849" t="s">
        <v>3410</v>
      </c>
      <c r="G812" s="693" t="s">
        <v>3411</v>
      </c>
      <c r="H812" s="848" t="s">
        <v>3412</v>
      </c>
      <c r="I812" s="693" t="s">
        <v>3413</v>
      </c>
      <c r="J812" s="847">
        <v>1612741</v>
      </c>
      <c r="K812" s="847">
        <v>2477983</v>
      </c>
      <c r="L812" s="841">
        <v>28252589</v>
      </c>
      <c r="M812" s="847">
        <v>33917242</v>
      </c>
      <c r="N812" s="839">
        <f>Indicadores[[#This Row],[Ventas]]/Indicadores[[#This Row],[Activos totales]]</f>
        <v>1.2005003152100504</v>
      </c>
      <c r="O812" s="837">
        <f>IF(Indicadores[[#This Row],[Ventas]]=0,0,Indicadores[[#This Row],[EBITDA]]/Indicadores[[#This Row],[Ventas]])</f>
        <v>7.3059684510904513E-2</v>
      </c>
      <c r="P812" s="837">
        <f>IF(Indicadores[[#This Row],[Ventas]]=0,0,Indicadores[[#This Row],[UAI]]/Indicadores[[#This Row],[Ventas]])</f>
        <v>4.7549296608491928E-2</v>
      </c>
      <c r="Q812" s="837">
        <f>IFERROR(Indicadores[[#This Row],[Ventas]]/Indicadores[[#This Row],[Activos totales]],0)</f>
        <v>1.2005003152100504</v>
      </c>
    </row>
    <row r="813" spans="1:17" hidden="1" x14ac:dyDescent="0.35">
      <c r="A813" s="13" t="str">
        <f>MID(Indicadores[[#This Row],[CIIU]],2,4)</f>
        <v>8522</v>
      </c>
      <c r="B813" s="13" t="str">
        <f>Indicadores[[#This Row],[CIIU]]&amp;Indicadores[[#This Row],[Año]]</f>
        <v>P85222017</v>
      </c>
      <c r="C813" s="14" t="s">
        <v>3399</v>
      </c>
      <c r="D813" s="14" t="s">
        <v>3400</v>
      </c>
      <c r="E813" s="848">
        <v>2017</v>
      </c>
      <c r="F813" s="849" t="s">
        <v>3414</v>
      </c>
      <c r="G813" s="693" t="s">
        <v>3415</v>
      </c>
      <c r="H813" s="848" t="s">
        <v>3416</v>
      </c>
      <c r="I813" s="693" t="s">
        <v>3415</v>
      </c>
      <c r="J813" s="847">
        <v>4004042</v>
      </c>
      <c r="K813" s="847">
        <v>6783380</v>
      </c>
      <c r="L813" s="841">
        <v>72468185</v>
      </c>
      <c r="M813" s="847">
        <v>49603733</v>
      </c>
      <c r="N813" s="839">
        <f>Indicadores[[#This Row],[Ventas]]/Indicadores[[#This Row],[Activos totales]]</f>
        <v>0.68448979369360496</v>
      </c>
      <c r="O813" s="837">
        <f>IF(Indicadores[[#This Row],[Ventas]]=0,0,Indicadores[[#This Row],[EBITDA]]/Indicadores[[#This Row],[Ventas]])</f>
        <v>0.1367514013511846</v>
      </c>
      <c r="P813" s="837">
        <f>IF(Indicadores[[#This Row],[Ventas]]=0,0,Indicadores[[#This Row],[UAI]]/Indicadores[[#This Row],[Ventas]])</f>
        <v>8.0720578025851406E-2</v>
      </c>
      <c r="Q813" s="837">
        <f>IFERROR(Indicadores[[#This Row],[Ventas]]/Indicadores[[#This Row],[Activos totales]],0)</f>
        <v>0.68448979369360496</v>
      </c>
    </row>
    <row r="814" spans="1:17" hidden="1" x14ac:dyDescent="0.35">
      <c r="A814" s="13" t="str">
        <f>MID(Indicadores[[#This Row],[CIIU]],2,4)</f>
        <v>8523</v>
      </c>
      <c r="B814" s="13" t="str">
        <f>Indicadores[[#This Row],[CIIU]]&amp;Indicadores[[#This Row],[Año]]</f>
        <v>P85232017</v>
      </c>
      <c r="C814" s="14" t="s">
        <v>3399</v>
      </c>
      <c r="D814" s="14" t="s">
        <v>3400</v>
      </c>
      <c r="E814" s="848">
        <v>2017</v>
      </c>
      <c r="F814" s="849" t="s">
        <v>3417</v>
      </c>
      <c r="G814" s="693" t="s">
        <v>3418</v>
      </c>
      <c r="H814" s="848" t="s">
        <v>3419</v>
      </c>
      <c r="I814" s="693" t="s">
        <v>3418</v>
      </c>
      <c r="J814" s="847">
        <v>9418712</v>
      </c>
      <c r="K814" s="847">
        <v>17908734</v>
      </c>
      <c r="L814" s="841">
        <v>205640496</v>
      </c>
      <c r="M814" s="847">
        <v>154528369</v>
      </c>
      <c r="N814" s="839">
        <f>Indicadores[[#This Row],[Ventas]]/Indicadores[[#This Row],[Activos totales]]</f>
        <v>0.7514491163258038</v>
      </c>
      <c r="O814" s="837">
        <f>IF(Indicadores[[#This Row],[Ventas]]=0,0,Indicadores[[#This Row],[EBITDA]]/Indicadores[[#This Row],[Ventas]])</f>
        <v>0.11589285589366442</v>
      </c>
      <c r="P814" s="837">
        <f>IF(Indicadores[[#This Row],[Ventas]]=0,0,Indicadores[[#This Row],[UAI]]/Indicadores[[#This Row],[Ventas]])</f>
        <v>6.0951345445184893E-2</v>
      </c>
      <c r="Q814" s="837">
        <f>IFERROR(Indicadores[[#This Row],[Ventas]]/Indicadores[[#This Row],[Activos totales]],0)</f>
        <v>0.7514491163258038</v>
      </c>
    </row>
    <row r="815" spans="1:17" hidden="1" x14ac:dyDescent="0.35">
      <c r="A815" s="13" t="str">
        <f>MID(Indicadores[[#This Row],[CIIU]],2,4)</f>
        <v>8530</v>
      </c>
      <c r="B815" s="13" t="str">
        <f>Indicadores[[#This Row],[CIIU]]&amp;Indicadores[[#This Row],[Año]]</f>
        <v>P85302017</v>
      </c>
      <c r="C815" s="14" t="s">
        <v>3399</v>
      </c>
      <c r="D815" s="14" t="s">
        <v>3400</v>
      </c>
      <c r="E815" s="848">
        <v>2017</v>
      </c>
      <c r="F815" s="849" t="s">
        <v>3420</v>
      </c>
      <c r="G815" s="693" t="s">
        <v>3421</v>
      </c>
      <c r="H815" s="848" t="s">
        <v>3422</v>
      </c>
      <c r="I815" s="693" t="s">
        <v>3423</v>
      </c>
      <c r="J815" s="847">
        <v>32306086</v>
      </c>
      <c r="K815" s="847">
        <v>52813694</v>
      </c>
      <c r="L815" s="841">
        <v>602117365</v>
      </c>
      <c r="M815" s="847">
        <v>349408494</v>
      </c>
      <c r="N815" s="839">
        <f>Indicadores[[#This Row],[Ventas]]/Indicadores[[#This Row],[Activos totales]]</f>
        <v>0.58029964639867182</v>
      </c>
      <c r="O815" s="837">
        <f>IF(Indicadores[[#This Row],[Ventas]]=0,0,Indicadores[[#This Row],[EBITDA]]/Indicadores[[#This Row],[Ventas]])</f>
        <v>0.1511517175652862</v>
      </c>
      <c r="P815" s="837">
        <f>IF(Indicadores[[#This Row],[Ventas]]=0,0,Indicadores[[#This Row],[UAI]]/Indicadores[[#This Row],[Ventas]])</f>
        <v>9.2459360761847992E-2</v>
      </c>
      <c r="Q815" s="837">
        <f>IFERROR(Indicadores[[#This Row],[Ventas]]/Indicadores[[#This Row],[Activos totales]],0)</f>
        <v>0.58029964639867182</v>
      </c>
    </row>
    <row r="816" spans="1:17" hidden="1" x14ac:dyDescent="0.35">
      <c r="A816" s="13" t="str">
        <f>MID(Indicadores[[#This Row],[CIIU]],2,4)</f>
        <v>8542</v>
      </c>
      <c r="B816" s="13" t="str">
        <f>Indicadores[[#This Row],[CIIU]]&amp;Indicadores[[#This Row],[Año]]</f>
        <v>P85422017</v>
      </c>
      <c r="C816" s="14" t="s">
        <v>3399</v>
      </c>
      <c r="D816" s="14" t="s">
        <v>3400</v>
      </c>
      <c r="E816" s="848">
        <v>2017</v>
      </c>
      <c r="F816" s="849" t="s">
        <v>3424</v>
      </c>
      <c r="G816" s="693" t="s">
        <v>3425</v>
      </c>
      <c r="H816" s="848" t="s">
        <v>3426</v>
      </c>
      <c r="I816" s="693" t="s">
        <v>3425</v>
      </c>
      <c r="J816" s="847">
        <v>33251</v>
      </c>
      <c r="K816" s="847">
        <v>188162</v>
      </c>
      <c r="L816" s="841">
        <v>6193775</v>
      </c>
      <c r="M816" s="847">
        <v>9642669</v>
      </c>
      <c r="N816" s="839">
        <f>Indicadores[[#This Row],[Ventas]]/Indicadores[[#This Row],[Activos totales]]</f>
        <v>1.5568323034013989</v>
      </c>
      <c r="O816" s="837">
        <f>IF(Indicadores[[#This Row],[Ventas]]=0,0,Indicadores[[#This Row],[EBITDA]]/Indicadores[[#This Row],[Ventas]])</f>
        <v>1.9513477025914713E-2</v>
      </c>
      <c r="P816" s="837">
        <f>IF(Indicadores[[#This Row],[Ventas]]=0,0,Indicadores[[#This Row],[UAI]]/Indicadores[[#This Row],[Ventas]])</f>
        <v>3.4483191323895906E-3</v>
      </c>
      <c r="Q816" s="837">
        <f>IFERROR(Indicadores[[#This Row],[Ventas]]/Indicadores[[#This Row],[Activos totales]],0)</f>
        <v>1.5568323034013989</v>
      </c>
    </row>
    <row r="817" spans="1:17" hidden="1" x14ac:dyDescent="0.35">
      <c r="A817" s="13" t="str">
        <f>MID(Indicadores[[#This Row],[CIIU]],2,4)</f>
        <v>8551</v>
      </c>
      <c r="B817" s="13" t="str">
        <f>Indicadores[[#This Row],[CIIU]]&amp;Indicadores[[#This Row],[Año]]</f>
        <v>P85512017</v>
      </c>
      <c r="C817" s="14" t="s">
        <v>3399</v>
      </c>
      <c r="D817" s="14" t="s">
        <v>3400</v>
      </c>
      <c r="E817" s="848">
        <v>2017</v>
      </c>
      <c r="F817" s="849" t="s">
        <v>3427</v>
      </c>
      <c r="G817" s="693" t="s">
        <v>3428</v>
      </c>
      <c r="H817" s="848" t="s">
        <v>3429</v>
      </c>
      <c r="I817" s="693" t="s">
        <v>3430</v>
      </c>
      <c r="J817" s="847">
        <v>497133</v>
      </c>
      <c r="K817" s="847">
        <v>2207297</v>
      </c>
      <c r="L817" s="841">
        <v>47348899</v>
      </c>
      <c r="M817" s="847">
        <v>52453809</v>
      </c>
      <c r="N817" s="839">
        <f>Indicadores[[#This Row],[Ventas]]/Indicadores[[#This Row],[Activos totales]]</f>
        <v>1.1078147561572658</v>
      </c>
      <c r="O817" s="837">
        <f>IF(Indicadores[[#This Row],[Ventas]]=0,0,Indicadores[[#This Row],[EBITDA]]/Indicadores[[#This Row],[Ventas]])</f>
        <v>4.2080776250205204E-2</v>
      </c>
      <c r="P817" s="837">
        <f>IF(Indicadores[[#This Row],[Ventas]]=0,0,Indicadores[[#This Row],[UAI]]/Indicadores[[#This Row],[Ventas]])</f>
        <v>9.4775386092552406E-3</v>
      </c>
      <c r="Q817" s="837">
        <f>IFERROR(Indicadores[[#This Row],[Ventas]]/Indicadores[[#This Row],[Activos totales]],0)</f>
        <v>1.1078147561572658</v>
      </c>
    </row>
    <row r="818" spans="1:17" hidden="1" x14ac:dyDescent="0.35">
      <c r="A818" s="13" t="str">
        <f>MID(Indicadores[[#This Row],[CIIU]],2,4)</f>
        <v>8559</v>
      </c>
      <c r="B818" s="13" t="str">
        <f>Indicadores[[#This Row],[CIIU]]&amp;Indicadores[[#This Row],[Año]]</f>
        <v>P85592017</v>
      </c>
      <c r="C818" s="14" t="s">
        <v>3399</v>
      </c>
      <c r="D818" s="14" t="s">
        <v>3400</v>
      </c>
      <c r="E818" s="848">
        <v>2017</v>
      </c>
      <c r="F818" s="849" t="s">
        <v>3434</v>
      </c>
      <c r="G818" s="693" t="s">
        <v>3435</v>
      </c>
      <c r="H818" s="848" t="s">
        <v>3436</v>
      </c>
      <c r="I818" s="693" t="s">
        <v>3435</v>
      </c>
      <c r="J818" s="847">
        <v>6539315</v>
      </c>
      <c r="K818" s="847">
        <v>8411813</v>
      </c>
      <c r="L818" s="841">
        <v>64847415</v>
      </c>
      <c r="M818" s="847">
        <v>72737755</v>
      </c>
      <c r="N818" s="839">
        <f>Indicadores[[#This Row],[Ventas]]/Indicadores[[#This Row],[Activos totales]]</f>
        <v>1.1216754746507629</v>
      </c>
      <c r="O818" s="837">
        <f>IF(Indicadores[[#This Row],[Ventas]]=0,0,Indicadores[[#This Row],[EBITDA]]/Indicadores[[#This Row],[Ventas]])</f>
        <v>0.11564576058197013</v>
      </c>
      <c r="P818" s="837">
        <f>IF(Indicadores[[#This Row],[Ventas]]=0,0,Indicadores[[#This Row],[UAI]]/Indicadores[[#This Row],[Ventas]])</f>
        <v>8.9902623472500623E-2</v>
      </c>
      <c r="Q818" s="837">
        <f>IFERROR(Indicadores[[#This Row],[Ventas]]/Indicadores[[#This Row],[Activos totales]],0)</f>
        <v>1.1216754746507629</v>
      </c>
    </row>
    <row r="819" spans="1:17" hidden="1" x14ac:dyDescent="0.35">
      <c r="A819" s="13" t="str">
        <f>MID(Indicadores[[#This Row],[CIIU]],2,4)</f>
        <v>8560</v>
      </c>
      <c r="B819" s="13" t="str">
        <f>Indicadores[[#This Row],[CIIU]]&amp;Indicadores[[#This Row],[Año]]</f>
        <v>P85602017</v>
      </c>
      <c r="C819" s="14" t="s">
        <v>3399</v>
      </c>
      <c r="D819" s="14" t="s">
        <v>3400</v>
      </c>
      <c r="E819" s="848">
        <v>2017</v>
      </c>
      <c r="F819" s="849" t="s">
        <v>3437</v>
      </c>
      <c r="G819" s="693" t="s">
        <v>3438</v>
      </c>
      <c r="H819" s="848" t="s">
        <v>3439</v>
      </c>
      <c r="I819" s="693" t="s">
        <v>3438</v>
      </c>
      <c r="J819" s="847">
        <v>-8106960</v>
      </c>
      <c r="K819" s="847">
        <v>-7248452</v>
      </c>
      <c r="L819" s="841">
        <v>47097112</v>
      </c>
      <c r="M819" s="847">
        <v>33655800</v>
      </c>
      <c r="N819" s="839">
        <f>Indicadores[[#This Row],[Ventas]]/Indicadores[[#This Row],[Activos totales]]</f>
        <v>0.71460432648184458</v>
      </c>
      <c r="O819" s="837">
        <f>IF(Indicadores[[#This Row],[Ventas]]=0,0,Indicadores[[#This Row],[EBITDA]]/Indicadores[[#This Row],[Ventas]])</f>
        <v>-0.21537006994336785</v>
      </c>
      <c r="P819" s="837">
        <f>IF(Indicadores[[#This Row],[Ventas]]=0,0,Indicadores[[#This Row],[UAI]]/Indicadores[[#This Row],[Ventas]])</f>
        <v>-0.24087854099441999</v>
      </c>
      <c r="Q819" s="837">
        <f>IFERROR(Indicadores[[#This Row],[Ventas]]/Indicadores[[#This Row],[Activos totales]],0)</f>
        <v>0.71460432648184458</v>
      </c>
    </row>
    <row r="820" spans="1:17" hidden="1" x14ac:dyDescent="0.35">
      <c r="A820" s="13" t="str">
        <f>MID(Indicadores[[#This Row],[CIIU]],2,4)</f>
        <v>8610</v>
      </c>
      <c r="B820" s="13" t="str">
        <f>Indicadores[[#This Row],[CIIU]]&amp;Indicadores[[#This Row],[Año]]</f>
        <v>Q86102017</v>
      </c>
      <c r="C820" s="14" t="s">
        <v>3440</v>
      </c>
      <c r="D820" s="14" t="s">
        <v>3441</v>
      </c>
      <c r="E820" s="848">
        <v>2017</v>
      </c>
      <c r="F820" s="849" t="s">
        <v>3442</v>
      </c>
      <c r="G820" s="693" t="s">
        <v>3443</v>
      </c>
      <c r="H820" s="848" t="s">
        <v>3444</v>
      </c>
      <c r="I820" s="693" t="s">
        <v>3443</v>
      </c>
      <c r="J820" s="847">
        <v>12813135</v>
      </c>
      <c r="K820" s="847">
        <v>10898767</v>
      </c>
      <c r="L820" s="841">
        <v>198190029</v>
      </c>
      <c r="M820" s="847">
        <v>95920425</v>
      </c>
      <c r="N820" s="839">
        <f>Indicadores[[#This Row],[Ventas]]/Indicadores[[#This Row],[Activos totales]]</f>
        <v>0.48398209276209347</v>
      </c>
      <c r="O820" s="837">
        <f>IF(Indicadores[[#This Row],[Ventas]]=0,0,Indicadores[[#This Row],[EBITDA]]/Indicadores[[#This Row],[Ventas]])</f>
        <v>0.11362300573626524</v>
      </c>
      <c r="P820" s="837">
        <f>IF(Indicadores[[#This Row],[Ventas]]=0,0,Indicadores[[#This Row],[UAI]]/Indicadores[[#This Row],[Ventas]])</f>
        <v>0.13358088227820092</v>
      </c>
      <c r="Q820" s="837">
        <f>IFERROR(Indicadores[[#This Row],[Ventas]]/Indicadores[[#This Row],[Activos totales]],0)</f>
        <v>0.48398209276209347</v>
      </c>
    </row>
    <row r="821" spans="1:17" hidden="1" x14ac:dyDescent="0.35">
      <c r="A821" s="13" t="str">
        <f>MID(Indicadores[[#This Row],[CIIU]],2,4)</f>
        <v>8621</v>
      </c>
      <c r="B821" s="13" t="str">
        <f>Indicadores[[#This Row],[CIIU]]&amp;Indicadores[[#This Row],[Año]]</f>
        <v>Q86212017</v>
      </c>
      <c r="C821" s="14" t="s">
        <v>3440</v>
      </c>
      <c r="D821" s="14" t="s">
        <v>3441</v>
      </c>
      <c r="E821" s="848">
        <v>2017</v>
      </c>
      <c r="F821" s="849" t="s">
        <v>3445</v>
      </c>
      <c r="G821" s="693" t="s">
        <v>3446</v>
      </c>
      <c r="H821" s="848" t="s">
        <v>3447</v>
      </c>
      <c r="I821" s="693" t="s">
        <v>3446</v>
      </c>
      <c r="J821" s="847">
        <v>31746784</v>
      </c>
      <c r="K821" s="847">
        <v>34772167</v>
      </c>
      <c r="L821" s="841">
        <v>177635570</v>
      </c>
      <c r="M821" s="847">
        <v>138764969</v>
      </c>
      <c r="N821" s="839">
        <f>Indicadores[[#This Row],[Ventas]]/Indicadores[[#This Row],[Activos totales]]</f>
        <v>0.78117782941783565</v>
      </c>
      <c r="O821" s="837">
        <f>IF(Indicadores[[#This Row],[Ventas]]=0,0,Indicadores[[#This Row],[EBITDA]]/Indicadores[[#This Row],[Ventas]])</f>
        <v>0.25058317852541012</v>
      </c>
      <c r="P821" s="837">
        <f>IF(Indicadores[[#This Row],[Ventas]]=0,0,Indicadores[[#This Row],[UAI]]/Indicadores[[#This Row],[Ventas]])</f>
        <v>0.2287809684878033</v>
      </c>
      <c r="Q821" s="837">
        <f>IFERROR(Indicadores[[#This Row],[Ventas]]/Indicadores[[#This Row],[Activos totales]],0)</f>
        <v>0.78117782941783565</v>
      </c>
    </row>
    <row r="822" spans="1:17" hidden="1" x14ac:dyDescent="0.35">
      <c r="A822" s="13" t="str">
        <f>MID(Indicadores[[#This Row],[CIIU]],2,4)</f>
        <v>8622</v>
      </c>
      <c r="B822" s="13" t="str">
        <f>Indicadores[[#This Row],[CIIU]]&amp;Indicadores[[#This Row],[Año]]</f>
        <v>Q86222017</v>
      </c>
      <c r="C822" s="14" t="s">
        <v>3440</v>
      </c>
      <c r="D822" s="14" t="s">
        <v>3441</v>
      </c>
      <c r="E822" s="848">
        <v>2017</v>
      </c>
      <c r="F822" s="849" t="s">
        <v>3448</v>
      </c>
      <c r="G822" s="693" t="s">
        <v>3449</v>
      </c>
      <c r="H822" s="848" t="s">
        <v>3450</v>
      </c>
      <c r="I822" s="693" t="s">
        <v>3449</v>
      </c>
      <c r="J822" s="847">
        <v>2140951</v>
      </c>
      <c r="K822" s="847">
        <v>9383033</v>
      </c>
      <c r="L822" s="841">
        <v>35180519</v>
      </c>
      <c r="M822" s="847">
        <v>75054807</v>
      </c>
      <c r="N822" s="839">
        <f>Indicadores[[#This Row],[Ventas]]/Indicadores[[#This Row],[Activos totales]]</f>
        <v>2.1334195496092594</v>
      </c>
      <c r="O822" s="837">
        <f>IF(Indicadores[[#This Row],[Ventas]]=0,0,Indicadores[[#This Row],[EBITDA]]/Indicadores[[#This Row],[Ventas]])</f>
        <v>0.12501575015708188</v>
      </c>
      <c r="P822" s="837">
        <f>IF(Indicadores[[#This Row],[Ventas]]=0,0,Indicadores[[#This Row],[UAI]]/Indicadores[[#This Row],[Ventas]])</f>
        <v>2.8525168281360046E-2</v>
      </c>
      <c r="Q822" s="837">
        <f>IFERROR(Indicadores[[#This Row],[Ventas]]/Indicadores[[#This Row],[Activos totales]],0)</f>
        <v>2.1334195496092594</v>
      </c>
    </row>
    <row r="823" spans="1:17" hidden="1" x14ac:dyDescent="0.35">
      <c r="A823" s="13" t="str">
        <f>MID(Indicadores[[#This Row],[CIIU]],2,4)</f>
        <v>8691</v>
      </c>
      <c r="B823" s="13" t="str">
        <f>Indicadores[[#This Row],[CIIU]]&amp;Indicadores[[#This Row],[Año]]</f>
        <v>Q86912017</v>
      </c>
      <c r="C823" s="14" t="s">
        <v>3440</v>
      </c>
      <c r="D823" s="14" t="s">
        <v>3441</v>
      </c>
      <c r="E823" s="848">
        <v>2017</v>
      </c>
      <c r="F823" s="849" t="s">
        <v>3451</v>
      </c>
      <c r="G823" s="693" t="s">
        <v>3452</v>
      </c>
      <c r="H823" s="848" t="s">
        <v>3453</v>
      </c>
      <c r="I823" s="693" t="s">
        <v>3452</v>
      </c>
      <c r="J823" s="847">
        <v>13353196</v>
      </c>
      <c r="K823" s="847">
        <v>10978075</v>
      </c>
      <c r="L823" s="841">
        <v>106678319</v>
      </c>
      <c r="M823" s="847">
        <v>53908798</v>
      </c>
      <c r="N823" s="839">
        <f>Indicadores[[#This Row],[Ventas]]/Indicadores[[#This Row],[Activos totales]]</f>
        <v>0.50533977761685578</v>
      </c>
      <c r="O823" s="837">
        <f>IF(Indicadores[[#This Row],[Ventas]]=0,0,Indicadores[[#This Row],[EBITDA]]/Indicadores[[#This Row],[Ventas]])</f>
        <v>0.20364162079814876</v>
      </c>
      <c r="P823" s="837">
        <f>IF(Indicadores[[#This Row],[Ventas]]=0,0,Indicadores[[#This Row],[UAI]]/Indicadores[[#This Row],[Ventas]])</f>
        <v>0.24769975394368837</v>
      </c>
      <c r="Q823" s="837">
        <f>IFERROR(Indicadores[[#This Row],[Ventas]]/Indicadores[[#This Row],[Activos totales]],0)</f>
        <v>0.50533977761685578</v>
      </c>
    </row>
    <row r="824" spans="1:17" hidden="1" x14ac:dyDescent="0.35">
      <c r="A824" s="13" t="str">
        <f>MID(Indicadores[[#This Row],[CIIU]],2,4)</f>
        <v>8692</v>
      </c>
      <c r="B824" s="13" t="str">
        <f>Indicadores[[#This Row],[CIIU]]&amp;Indicadores[[#This Row],[Año]]</f>
        <v>Q86922017</v>
      </c>
      <c r="C824" s="14" t="s">
        <v>3440</v>
      </c>
      <c r="D824" s="14" t="s">
        <v>3441</v>
      </c>
      <c r="E824" s="848">
        <v>2017</v>
      </c>
      <c r="F824" s="849" t="s">
        <v>3454</v>
      </c>
      <c r="G824" s="693" t="s">
        <v>3455</v>
      </c>
      <c r="H824" s="848" t="s">
        <v>3456</v>
      </c>
      <c r="I824" s="693" t="s">
        <v>3455</v>
      </c>
      <c r="J824" s="847">
        <v>75639</v>
      </c>
      <c r="K824" s="847">
        <v>306504</v>
      </c>
      <c r="L824" s="841">
        <v>5762976</v>
      </c>
      <c r="M824" s="847">
        <v>8191755</v>
      </c>
      <c r="N824" s="839">
        <f>Indicadores[[#This Row],[Ventas]]/Indicadores[[#This Row],[Activos totales]]</f>
        <v>1.4214452741083774</v>
      </c>
      <c r="O824" s="837">
        <f>IF(Indicadores[[#This Row],[Ventas]]=0,0,Indicadores[[#This Row],[EBITDA]]/Indicadores[[#This Row],[Ventas]])</f>
        <v>3.7416158076016677E-2</v>
      </c>
      <c r="P824" s="837">
        <f>IF(Indicadores[[#This Row],[Ventas]]=0,0,Indicadores[[#This Row],[UAI]]/Indicadores[[#This Row],[Ventas]])</f>
        <v>9.2335525171346067E-3</v>
      </c>
      <c r="Q824" s="837">
        <f>IFERROR(Indicadores[[#This Row],[Ventas]]/Indicadores[[#This Row],[Activos totales]],0)</f>
        <v>1.4214452741083774</v>
      </c>
    </row>
    <row r="825" spans="1:17" hidden="1" x14ac:dyDescent="0.35">
      <c r="A825" s="13" t="str">
        <f>MID(Indicadores[[#This Row],[CIIU]],2,4)</f>
        <v>8699</v>
      </c>
      <c r="B825" s="13" t="str">
        <f>Indicadores[[#This Row],[CIIU]]&amp;Indicadores[[#This Row],[Año]]</f>
        <v>Q86992017</v>
      </c>
      <c r="C825" s="14" t="s">
        <v>3440</v>
      </c>
      <c r="D825" s="14" t="s">
        <v>3441</v>
      </c>
      <c r="E825" s="848">
        <v>2017</v>
      </c>
      <c r="F825" s="849" t="s">
        <v>3457</v>
      </c>
      <c r="G825" s="693" t="s">
        <v>3458</v>
      </c>
      <c r="H825" s="848" t="s">
        <v>3459</v>
      </c>
      <c r="I825" s="693" t="s">
        <v>3458</v>
      </c>
      <c r="J825" s="847">
        <v>42927191</v>
      </c>
      <c r="K825" s="847">
        <v>48926363</v>
      </c>
      <c r="L825" s="841">
        <v>281767294</v>
      </c>
      <c r="M825" s="847">
        <v>162353612</v>
      </c>
      <c r="N825" s="839">
        <f>Indicadores[[#This Row],[Ventas]]/Indicadores[[#This Row],[Activos totales]]</f>
        <v>0.57619750573322392</v>
      </c>
      <c r="O825" s="837">
        <f>IF(Indicadores[[#This Row],[Ventas]]=0,0,Indicadores[[#This Row],[EBITDA]]/Indicadores[[#This Row],[Ventas]])</f>
        <v>0.3013567877997072</v>
      </c>
      <c r="P825" s="837">
        <f>IF(Indicadores[[#This Row],[Ventas]]=0,0,Indicadores[[#This Row],[UAI]]/Indicadores[[#This Row],[Ventas]])</f>
        <v>0.26440551873893636</v>
      </c>
      <c r="Q825" s="837">
        <f>IFERROR(Indicadores[[#This Row],[Ventas]]/Indicadores[[#This Row],[Activos totales]],0)</f>
        <v>0.57619750573322392</v>
      </c>
    </row>
    <row r="826" spans="1:17" hidden="1" x14ac:dyDescent="0.35">
      <c r="A826" s="13" t="str">
        <f>MID(Indicadores[[#This Row],[CIIU]],2,4)</f>
        <v>8790</v>
      </c>
      <c r="B826" s="13" t="str">
        <f>Indicadores[[#This Row],[CIIU]]&amp;Indicadores[[#This Row],[Año]]</f>
        <v>Q87902017</v>
      </c>
      <c r="C826" s="14" t="s">
        <v>3440</v>
      </c>
      <c r="D826" s="14" t="s">
        <v>3460</v>
      </c>
      <c r="E826" s="848">
        <v>2017</v>
      </c>
      <c r="F826" s="849" t="s">
        <v>3461</v>
      </c>
      <c r="G826" s="838" t="e">
        <v>#N/A</v>
      </c>
      <c r="H826" s="848" t="s">
        <v>3462</v>
      </c>
      <c r="I826" s="693" t="s">
        <v>3463</v>
      </c>
      <c r="J826" s="847">
        <v>417979</v>
      </c>
      <c r="K826" s="847">
        <v>576091</v>
      </c>
      <c r="L826" s="841">
        <v>36746246</v>
      </c>
      <c r="M826" s="847">
        <v>4767877</v>
      </c>
      <c r="N826" s="839">
        <f>Indicadores[[#This Row],[Ventas]]/Indicadores[[#This Row],[Activos totales]]</f>
        <v>0.12975140372162097</v>
      </c>
      <c r="O826" s="837">
        <f>IF(Indicadores[[#This Row],[Ventas]]=0,0,Indicadores[[#This Row],[EBITDA]]/Indicadores[[#This Row],[Ventas]])</f>
        <v>0.12082757168442056</v>
      </c>
      <c r="P826" s="837">
        <f>IF(Indicadores[[#This Row],[Ventas]]=0,0,Indicadores[[#This Row],[UAI]]/Indicadores[[#This Row],[Ventas]])</f>
        <v>8.7665642381294651E-2</v>
      </c>
      <c r="Q826" s="837">
        <f>IFERROR(Indicadores[[#This Row],[Ventas]]/Indicadores[[#This Row],[Activos totales]],0)</f>
        <v>0.12975140372162097</v>
      </c>
    </row>
    <row r="827" spans="1:17" hidden="1" x14ac:dyDescent="0.35">
      <c r="A827" s="13" t="str">
        <f>MID(Indicadores[[#This Row],[CIIU]],2,4)</f>
        <v>8810</v>
      </c>
      <c r="B827" s="13" t="str">
        <f>Indicadores[[#This Row],[CIIU]]&amp;Indicadores[[#This Row],[Año]]</f>
        <v>Q88102017</v>
      </c>
      <c r="C827" s="14" t="s">
        <v>3440</v>
      </c>
      <c r="D827" s="14" t="s">
        <v>3464</v>
      </c>
      <c r="E827" s="848">
        <v>2017</v>
      </c>
      <c r="F827" s="849" t="s">
        <v>3465</v>
      </c>
      <c r="G827" s="693" t="s">
        <v>3466</v>
      </c>
      <c r="H827" s="848" t="s">
        <v>3467</v>
      </c>
      <c r="I827" s="693" t="s">
        <v>3466</v>
      </c>
      <c r="J827" s="847">
        <v>62440</v>
      </c>
      <c r="K827" s="847">
        <v>103586</v>
      </c>
      <c r="L827" s="841">
        <v>6800326</v>
      </c>
      <c r="M827" s="847">
        <v>3278978</v>
      </c>
      <c r="N827" s="839">
        <f>Indicadores[[#This Row],[Ventas]]/Indicadores[[#This Row],[Activos totales]]</f>
        <v>0.48217953080484671</v>
      </c>
      <c r="O827" s="837">
        <f>IF(Indicadores[[#This Row],[Ventas]]=0,0,Indicadores[[#This Row],[EBITDA]]/Indicadores[[#This Row],[Ventas]])</f>
        <v>3.1590940835833602E-2</v>
      </c>
      <c r="P827" s="837">
        <f>IF(Indicadores[[#This Row],[Ventas]]=0,0,Indicadores[[#This Row],[UAI]]/Indicadores[[#This Row],[Ventas]])</f>
        <v>1.9042518736020798E-2</v>
      </c>
      <c r="Q827" s="837">
        <f>IFERROR(Indicadores[[#This Row],[Ventas]]/Indicadores[[#This Row],[Activos totales]],0)</f>
        <v>0.48217953080484671</v>
      </c>
    </row>
    <row r="828" spans="1:17" hidden="1" x14ac:dyDescent="0.35">
      <c r="A828" s="13" t="str">
        <f>MID(Indicadores[[#This Row],[CIIU]],2,4)</f>
        <v>8890</v>
      </c>
      <c r="B828" s="13" t="str">
        <f>Indicadores[[#This Row],[CIIU]]&amp;Indicadores[[#This Row],[Año]]</f>
        <v>Q88902017</v>
      </c>
      <c r="C828" s="14" t="s">
        <v>3440</v>
      </c>
      <c r="D828" s="14" t="s">
        <v>3464</v>
      </c>
      <c r="E828" s="848">
        <v>2017</v>
      </c>
      <c r="F828" s="849" t="s">
        <v>3468</v>
      </c>
      <c r="G828" s="693" t="s">
        <v>3469</v>
      </c>
      <c r="H828" s="848" t="s">
        <v>3470</v>
      </c>
      <c r="I828" s="693" t="s">
        <v>3469</v>
      </c>
      <c r="J828" s="847">
        <v>-29495</v>
      </c>
      <c r="K828" s="847">
        <v>11338</v>
      </c>
      <c r="L828" s="841">
        <v>18121286</v>
      </c>
      <c r="M828" s="847">
        <v>180000</v>
      </c>
      <c r="N828" s="839">
        <f>Indicadores[[#This Row],[Ventas]]/Indicadores[[#This Row],[Activos totales]]</f>
        <v>9.9330698715311919E-3</v>
      </c>
      <c r="O828" s="837">
        <f>IF(Indicadores[[#This Row],[Ventas]]=0,0,Indicadores[[#This Row],[EBITDA]]/Indicadores[[#This Row],[Ventas]])</f>
        <v>6.2988888888888886E-2</v>
      </c>
      <c r="P828" s="837">
        <f>IF(Indicadores[[#This Row],[Ventas]]=0,0,Indicadores[[#This Row],[UAI]]/Indicadores[[#This Row],[Ventas]])</f>
        <v>-0.16386111111111112</v>
      </c>
      <c r="Q828" s="837">
        <f>IFERROR(Indicadores[[#This Row],[Ventas]]/Indicadores[[#This Row],[Activos totales]],0)</f>
        <v>9.9330698715311919E-3</v>
      </c>
    </row>
    <row r="829" spans="1:17" hidden="1" x14ac:dyDescent="0.35">
      <c r="A829" s="13" t="str">
        <f>MID(Indicadores[[#This Row],[CIIU]],2,4)</f>
        <v>9006</v>
      </c>
      <c r="B829" s="13" t="str">
        <f>Indicadores[[#This Row],[CIIU]]&amp;Indicadores[[#This Row],[Año]]</f>
        <v>R90062017</v>
      </c>
      <c r="C829" s="14" t="s">
        <v>3471</v>
      </c>
      <c r="D829" s="14" t="s">
        <v>3472</v>
      </c>
      <c r="E829" s="848">
        <v>2017</v>
      </c>
      <c r="F829" s="849" t="s">
        <v>3473</v>
      </c>
      <c r="G829" s="693" t="s">
        <v>3474</v>
      </c>
      <c r="H829" s="848" t="s">
        <v>3475</v>
      </c>
      <c r="I829" s="693" t="s">
        <v>3474</v>
      </c>
      <c r="J829" s="847">
        <v>1691972</v>
      </c>
      <c r="K829" s="847">
        <v>1800097</v>
      </c>
      <c r="L829" s="841">
        <v>8224181</v>
      </c>
      <c r="M829" s="847">
        <v>14765238</v>
      </c>
      <c r="N829" s="839">
        <f>Indicadores[[#This Row],[Ventas]]/Indicadores[[#This Row],[Activos totales]]</f>
        <v>1.7953444847578135</v>
      </c>
      <c r="O829" s="837">
        <f>IF(Indicadores[[#This Row],[Ventas]]=0,0,Indicadores[[#This Row],[EBITDA]]/Indicadores[[#This Row],[Ventas]])</f>
        <v>0.12191452653861726</v>
      </c>
      <c r="P829" s="837">
        <f>IF(Indicadores[[#This Row],[Ventas]]=0,0,Indicadores[[#This Row],[UAI]]/Indicadores[[#This Row],[Ventas]])</f>
        <v>0.11459158328501037</v>
      </c>
      <c r="Q829" s="837">
        <f>IFERROR(Indicadores[[#This Row],[Ventas]]/Indicadores[[#This Row],[Activos totales]],0)</f>
        <v>1.7953444847578135</v>
      </c>
    </row>
    <row r="830" spans="1:17" hidden="1" x14ac:dyDescent="0.35">
      <c r="A830" s="13" t="str">
        <f>MID(Indicadores[[#This Row],[CIIU]],2,4)</f>
        <v>9007</v>
      </c>
      <c r="B830" s="13" t="str">
        <f>Indicadores[[#This Row],[CIIU]]&amp;Indicadores[[#This Row],[Año]]</f>
        <v>R90072017</v>
      </c>
      <c r="C830" s="14" t="s">
        <v>3471</v>
      </c>
      <c r="D830" s="14" t="s">
        <v>3472</v>
      </c>
      <c r="E830" s="848">
        <v>2017</v>
      </c>
      <c r="F830" s="849" t="s">
        <v>3476</v>
      </c>
      <c r="G830" s="693" t="s">
        <v>3477</v>
      </c>
      <c r="H830" s="848" t="s">
        <v>3478</v>
      </c>
      <c r="I830" s="693" t="s">
        <v>3477</v>
      </c>
      <c r="J830" s="847">
        <v>1985368</v>
      </c>
      <c r="K830" s="847">
        <v>6380467</v>
      </c>
      <c r="L830" s="841">
        <v>115671724</v>
      </c>
      <c r="M830" s="847">
        <v>190545237</v>
      </c>
      <c r="N830" s="839">
        <f>Indicadores[[#This Row],[Ventas]]/Indicadores[[#This Row],[Activos totales]]</f>
        <v>1.6472931362205685</v>
      </c>
      <c r="O830" s="837">
        <f>IF(Indicadores[[#This Row],[Ventas]]=0,0,Indicadores[[#This Row],[EBITDA]]/Indicadores[[#This Row],[Ventas]])</f>
        <v>3.3485313516390863E-2</v>
      </c>
      <c r="P830" s="837">
        <f>IF(Indicadores[[#This Row],[Ventas]]=0,0,Indicadores[[#This Row],[UAI]]/Indicadores[[#This Row],[Ventas]])</f>
        <v>1.0419405025589802E-2</v>
      </c>
      <c r="Q830" s="837">
        <f>IFERROR(Indicadores[[#This Row],[Ventas]]/Indicadores[[#This Row],[Activos totales]],0)</f>
        <v>1.6472931362205685</v>
      </c>
    </row>
    <row r="831" spans="1:17" hidden="1" x14ac:dyDescent="0.35">
      <c r="A831" s="13" t="str">
        <f>MID(Indicadores[[#This Row],[CIIU]],2,4)</f>
        <v>9103</v>
      </c>
      <c r="B831" s="13" t="str">
        <f>Indicadores[[#This Row],[CIIU]]&amp;Indicadores[[#This Row],[Año]]</f>
        <v>R91032017</v>
      </c>
      <c r="C831" s="14" t="s">
        <v>3471</v>
      </c>
      <c r="D831" s="14" t="s">
        <v>3479</v>
      </c>
      <c r="E831" s="848">
        <v>2017</v>
      </c>
      <c r="F831" s="849" t="s">
        <v>3480</v>
      </c>
      <c r="G831" s="693" t="s">
        <v>3481</v>
      </c>
      <c r="H831" s="848" t="s">
        <v>3482</v>
      </c>
      <c r="I831" s="693" t="s">
        <v>3481</v>
      </c>
      <c r="J831" s="847">
        <v>1202316</v>
      </c>
      <c r="K831" s="847">
        <v>5469556</v>
      </c>
      <c r="L831" s="841">
        <v>47868007</v>
      </c>
      <c r="M831" s="847">
        <v>22779827</v>
      </c>
      <c r="N831" s="839">
        <f>Indicadores[[#This Row],[Ventas]]/Indicadores[[#This Row],[Activos totales]]</f>
        <v>0.47588835273630675</v>
      </c>
      <c r="O831" s="837">
        <f>IF(Indicadores[[#This Row],[Ventas]]=0,0,Indicadores[[#This Row],[EBITDA]]/Indicadores[[#This Row],[Ventas]])</f>
        <v>0.24010524750692794</v>
      </c>
      <c r="P831" s="837">
        <f>IF(Indicadores[[#This Row],[Ventas]]=0,0,Indicadores[[#This Row],[UAI]]/Indicadores[[#This Row],[Ventas]])</f>
        <v>5.2779856493203395E-2</v>
      </c>
      <c r="Q831" s="837">
        <f>IFERROR(Indicadores[[#This Row],[Ventas]]/Indicadores[[#This Row],[Activos totales]],0)</f>
        <v>0.47588835273630675</v>
      </c>
    </row>
    <row r="832" spans="1:17" hidden="1" x14ac:dyDescent="0.35">
      <c r="A832" s="13" t="str">
        <f>MID(Indicadores[[#This Row],[CIIU]],2,4)</f>
        <v>9200</v>
      </c>
      <c r="B832" s="13" t="str">
        <f>Indicadores[[#This Row],[CIIU]]&amp;Indicadores[[#This Row],[Año]]</f>
        <v>R92002017</v>
      </c>
      <c r="C832" s="14" t="s">
        <v>3471</v>
      </c>
      <c r="D832" s="14" t="s">
        <v>3483</v>
      </c>
      <c r="E832" s="848">
        <v>2017</v>
      </c>
      <c r="F832" s="849" t="s">
        <v>3484</v>
      </c>
      <c r="G832" s="693" t="s">
        <v>3485</v>
      </c>
      <c r="H832" s="848" t="s">
        <v>3486</v>
      </c>
      <c r="I832" s="693" t="s">
        <v>3485</v>
      </c>
      <c r="J832" s="847">
        <v>-9156865</v>
      </c>
      <c r="K832" s="847">
        <v>23203831</v>
      </c>
      <c r="L832" s="841">
        <v>371595513</v>
      </c>
      <c r="M832" s="847">
        <v>412089127</v>
      </c>
      <c r="N832" s="839">
        <f>Indicadores[[#This Row],[Ventas]]/Indicadores[[#This Row],[Activos totales]]</f>
        <v>1.1089722899856436</v>
      </c>
      <c r="O832" s="837">
        <f>IF(Indicadores[[#This Row],[Ventas]]=0,0,Indicadores[[#This Row],[EBITDA]]/Indicadores[[#This Row],[Ventas]])</f>
        <v>5.6307797220769673E-2</v>
      </c>
      <c r="P832" s="837">
        <f>IF(Indicadores[[#This Row],[Ventas]]=0,0,Indicadores[[#This Row],[UAI]]/Indicadores[[#This Row],[Ventas]])</f>
        <v>-2.222059355620902E-2</v>
      </c>
      <c r="Q832" s="837">
        <f>IFERROR(Indicadores[[#This Row],[Ventas]]/Indicadores[[#This Row],[Activos totales]],0)</f>
        <v>1.1089722899856436</v>
      </c>
    </row>
    <row r="833" spans="1:17" hidden="1" x14ac:dyDescent="0.35">
      <c r="A833" s="13" t="str">
        <f>MID(Indicadores[[#This Row],[CIIU]],2,4)</f>
        <v>9311</v>
      </c>
      <c r="B833" s="13" t="str">
        <f>Indicadores[[#This Row],[CIIU]]&amp;Indicadores[[#This Row],[Año]]</f>
        <v>R93112017</v>
      </c>
      <c r="C833" s="14" t="s">
        <v>3471</v>
      </c>
      <c r="D833" s="14" t="s">
        <v>3487</v>
      </c>
      <c r="E833" s="848">
        <v>2017</v>
      </c>
      <c r="F833" s="849" t="s">
        <v>3488</v>
      </c>
      <c r="G833" s="693" t="s">
        <v>3489</v>
      </c>
      <c r="H833" s="848" t="s">
        <v>3490</v>
      </c>
      <c r="I833" s="693" t="s">
        <v>3489</v>
      </c>
      <c r="J833" s="847">
        <v>-4208552</v>
      </c>
      <c r="K833" s="847">
        <v>4352546</v>
      </c>
      <c r="L833" s="841">
        <v>112210147</v>
      </c>
      <c r="M833" s="847">
        <v>6211878</v>
      </c>
      <c r="N833" s="839">
        <f>Indicadores[[#This Row],[Ventas]]/Indicadores[[#This Row],[Activos totales]]</f>
        <v>5.5359325035016664E-2</v>
      </c>
      <c r="O833" s="837">
        <f>IF(Indicadores[[#This Row],[Ventas]]=0,0,Indicadores[[#This Row],[EBITDA]]/Indicadores[[#This Row],[Ventas]])</f>
        <v>0.70068117886410519</v>
      </c>
      <c r="P833" s="837">
        <f>IF(Indicadores[[#This Row],[Ventas]]=0,0,Indicadores[[#This Row],[UAI]]/Indicadores[[#This Row],[Ventas]])</f>
        <v>-0.67750074937080218</v>
      </c>
      <c r="Q833" s="837">
        <f>IFERROR(Indicadores[[#This Row],[Ventas]]/Indicadores[[#This Row],[Activos totales]],0)</f>
        <v>5.5359325035016664E-2</v>
      </c>
    </row>
    <row r="834" spans="1:17" hidden="1" x14ac:dyDescent="0.35">
      <c r="A834" s="13" t="str">
        <f>MID(Indicadores[[#This Row],[CIIU]],2,4)</f>
        <v>9312</v>
      </c>
      <c r="B834" s="13" t="str">
        <f>Indicadores[[#This Row],[CIIU]]&amp;Indicadores[[#This Row],[Año]]</f>
        <v>R93122017</v>
      </c>
      <c r="C834" s="14" t="s">
        <v>3471</v>
      </c>
      <c r="D834" s="14" t="s">
        <v>3487</v>
      </c>
      <c r="E834" s="848">
        <v>2017</v>
      </c>
      <c r="F834" s="849" t="s">
        <v>3491</v>
      </c>
      <c r="G834" s="693" t="s">
        <v>3492</v>
      </c>
      <c r="H834" s="848" t="s">
        <v>3493</v>
      </c>
      <c r="I834" s="693" t="s">
        <v>3492</v>
      </c>
      <c r="J834" s="847">
        <v>8197243</v>
      </c>
      <c r="K834" s="847">
        <v>59825380</v>
      </c>
      <c r="L834" s="841">
        <v>540473709</v>
      </c>
      <c r="M834" s="847">
        <v>507343635</v>
      </c>
      <c r="N834" s="839">
        <f>Indicadores[[#This Row],[Ventas]]/Indicadores[[#This Row],[Activos totales]]</f>
        <v>0.9387017842897516</v>
      </c>
      <c r="O834" s="837">
        <f>IF(Indicadores[[#This Row],[Ventas]]=0,0,Indicadores[[#This Row],[EBITDA]]/Indicadores[[#This Row],[Ventas]])</f>
        <v>0.11791885395388867</v>
      </c>
      <c r="P834" s="837">
        <f>IF(Indicadores[[#This Row],[Ventas]]=0,0,Indicadores[[#This Row],[UAI]]/Indicadores[[#This Row],[Ventas]])</f>
        <v>1.615718111847407E-2</v>
      </c>
      <c r="Q834" s="837">
        <f>IFERROR(Indicadores[[#This Row],[Ventas]]/Indicadores[[#This Row],[Activos totales]],0)</f>
        <v>0.9387017842897516</v>
      </c>
    </row>
    <row r="835" spans="1:17" hidden="1" x14ac:dyDescent="0.35">
      <c r="A835" s="13" t="str">
        <f>MID(Indicadores[[#This Row],[CIIU]],2,4)</f>
        <v>9319</v>
      </c>
      <c r="B835" s="13" t="str">
        <f>Indicadores[[#This Row],[CIIU]]&amp;Indicadores[[#This Row],[Año]]</f>
        <v>R93192017</v>
      </c>
      <c r="C835" s="14" t="s">
        <v>3471</v>
      </c>
      <c r="D835" s="14" t="s">
        <v>3487</v>
      </c>
      <c r="E835" s="848">
        <v>2017</v>
      </c>
      <c r="F835" s="849" t="s">
        <v>3494</v>
      </c>
      <c r="G835" s="693" t="s">
        <v>3495</v>
      </c>
      <c r="H835" s="848" t="s">
        <v>3496</v>
      </c>
      <c r="I835" s="693" t="s">
        <v>3495</v>
      </c>
      <c r="J835" s="847">
        <v>-1278403</v>
      </c>
      <c r="K835" s="847">
        <v>-2029615</v>
      </c>
      <c r="L835" s="841">
        <v>23499375</v>
      </c>
      <c r="M835" s="847">
        <v>17209194</v>
      </c>
      <c r="N835" s="839">
        <f>Indicadores[[#This Row],[Ventas]]/Indicadores[[#This Row],[Activos totales]]</f>
        <v>0.73232560440437244</v>
      </c>
      <c r="O835" s="837">
        <f>IF(Indicadores[[#This Row],[Ventas]]=0,0,Indicadores[[#This Row],[EBITDA]]/Indicadores[[#This Row],[Ventas]])</f>
        <v>-0.11793783020866637</v>
      </c>
      <c r="P835" s="837">
        <f>IF(Indicadores[[#This Row],[Ventas]]=0,0,Indicadores[[#This Row],[UAI]]/Indicadores[[#This Row],[Ventas]])</f>
        <v>-7.4286047330281713E-2</v>
      </c>
      <c r="Q835" s="837">
        <f>IFERROR(Indicadores[[#This Row],[Ventas]]/Indicadores[[#This Row],[Activos totales]],0)</f>
        <v>0.73232560440437244</v>
      </c>
    </row>
    <row r="836" spans="1:17" hidden="1" x14ac:dyDescent="0.35">
      <c r="A836" s="13" t="str">
        <f>MID(Indicadores[[#This Row],[CIIU]],2,4)</f>
        <v>9321</v>
      </c>
      <c r="B836" s="13" t="str">
        <f>Indicadores[[#This Row],[CIIU]]&amp;Indicadores[[#This Row],[Año]]</f>
        <v>R93212017</v>
      </c>
      <c r="C836" s="14" t="s">
        <v>3471</v>
      </c>
      <c r="D836" s="14" t="s">
        <v>3487</v>
      </c>
      <c r="E836" s="848">
        <v>2017</v>
      </c>
      <c r="F836" s="849" t="s">
        <v>3497</v>
      </c>
      <c r="G836" s="693" t="s">
        <v>3498</v>
      </c>
      <c r="H836" s="848" t="s">
        <v>3499</v>
      </c>
      <c r="I836" s="693" t="s">
        <v>3498</v>
      </c>
      <c r="J836" s="847">
        <v>6499201</v>
      </c>
      <c r="K836" s="847">
        <v>16994825</v>
      </c>
      <c r="L836" s="841">
        <v>102072936</v>
      </c>
      <c r="M836" s="847">
        <v>87155170</v>
      </c>
      <c r="N836" s="839">
        <f>Indicadores[[#This Row],[Ventas]]/Indicadores[[#This Row],[Activos totales]]</f>
        <v>0.85385189664770689</v>
      </c>
      <c r="O836" s="837">
        <f>IF(Indicadores[[#This Row],[Ventas]]=0,0,Indicadores[[#This Row],[EBITDA]]/Indicadores[[#This Row],[Ventas]])</f>
        <v>0.1949950301284479</v>
      </c>
      <c r="P836" s="837">
        <f>IF(Indicadores[[#This Row],[Ventas]]=0,0,Indicadores[[#This Row],[UAI]]/Indicadores[[#This Row],[Ventas]])</f>
        <v>7.4570458642900933E-2</v>
      </c>
      <c r="Q836" s="837">
        <f>IFERROR(Indicadores[[#This Row],[Ventas]]/Indicadores[[#This Row],[Activos totales]],0)</f>
        <v>0.85385189664770689</v>
      </c>
    </row>
    <row r="837" spans="1:17" hidden="1" x14ac:dyDescent="0.35">
      <c r="A837" s="13" t="str">
        <f>MID(Indicadores[[#This Row],[CIIU]],2,4)</f>
        <v>9329</v>
      </c>
      <c r="B837" s="13" t="str">
        <f>Indicadores[[#This Row],[CIIU]]&amp;Indicadores[[#This Row],[Año]]</f>
        <v>R93292017</v>
      </c>
      <c r="C837" s="14" t="s">
        <v>3471</v>
      </c>
      <c r="D837" s="14" t="s">
        <v>3487</v>
      </c>
      <c r="E837" s="848">
        <v>2017</v>
      </c>
      <c r="F837" s="849" t="s">
        <v>3500</v>
      </c>
      <c r="G837" s="693" t="s">
        <v>3501</v>
      </c>
      <c r="H837" s="848" t="s">
        <v>3502</v>
      </c>
      <c r="I837" s="693" t="s">
        <v>3501</v>
      </c>
      <c r="J837" s="847">
        <v>7786296</v>
      </c>
      <c r="K837" s="847">
        <v>30163163</v>
      </c>
      <c r="L837" s="841">
        <v>586243873</v>
      </c>
      <c r="M837" s="847">
        <v>195668595</v>
      </c>
      <c r="N837" s="839">
        <f>Indicadores[[#This Row],[Ventas]]/Indicadores[[#This Row],[Activos totales]]</f>
        <v>0.33376655008554779</v>
      </c>
      <c r="O837" s="837">
        <f>IF(Indicadores[[#This Row],[Ventas]]=0,0,Indicadores[[#This Row],[EBITDA]]/Indicadores[[#This Row],[Ventas]])</f>
        <v>0.15415433938185125</v>
      </c>
      <c r="P837" s="837">
        <f>IF(Indicadores[[#This Row],[Ventas]]=0,0,Indicadores[[#This Row],[UAI]]/Indicadores[[#This Row],[Ventas]])</f>
        <v>3.9793284149661316E-2</v>
      </c>
      <c r="Q837" s="837">
        <f>IFERROR(Indicadores[[#This Row],[Ventas]]/Indicadores[[#This Row],[Activos totales]],0)</f>
        <v>0.33376655008554779</v>
      </c>
    </row>
    <row r="838" spans="1:17" hidden="1" x14ac:dyDescent="0.35">
      <c r="A838" s="13" t="str">
        <f>MID(Indicadores[[#This Row],[CIIU]],2,4)</f>
        <v>9411</v>
      </c>
      <c r="B838" s="13" t="str">
        <f>Indicadores[[#This Row],[CIIU]]&amp;Indicadores[[#This Row],[Año]]</f>
        <v>S94112017</v>
      </c>
      <c r="C838" s="14" t="s">
        <v>3503</v>
      </c>
      <c r="D838" s="14" t="s">
        <v>3504</v>
      </c>
      <c r="E838" s="848">
        <v>2017</v>
      </c>
      <c r="F838" s="849" t="s">
        <v>3505</v>
      </c>
      <c r="G838" s="838" t="s">
        <v>3506</v>
      </c>
      <c r="H838" s="848" t="s">
        <v>3507</v>
      </c>
      <c r="I838" s="693" t="s">
        <v>3506</v>
      </c>
      <c r="J838" s="847">
        <v>-603761</v>
      </c>
      <c r="K838" s="847">
        <v>-603761</v>
      </c>
      <c r="L838" s="841">
        <v>7299833</v>
      </c>
      <c r="M838" s="847">
        <v>3520586</v>
      </c>
      <c r="N838" s="839">
        <f>Indicadores[[#This Row],[Ventas]]/Indicadores[[#This Row],[Activos totales]]</f>
        <v>0.48228308784598223</v>
      </c>
      <c r="O838" s="837">
        <f>IF(Indicadores[[#This Row],[Ventas]]=0,0,Indicadores[[#This Row],[EBITDA]]/Indicadores[[#This Row],[Ventas]])</f>
        <v>-0.1714944614334091</v>
      </c>
      <c r="P838" s="837">
        <f>IF(Indicadores[[#This Row],[Ventas]]=0,0,Indicadores[[#This Row],[UAI]]/Indicadores[[#This Row],[Ventas]])</f>
        <v>-0.1714944614334091</v>
      </c>
      <c r="Q838" s="837">
        <f>IFERROR(Indicadores[[#This Row],[Ventas]]/Indicadores[[#This Row],[Activos totales]],0)</f>
        <v>0.48228308784598223</v>
      </c>
    </row>
    <row r="839" spans="1:17" hidden="1" x14ac:dyDescent="0.35">
      <c r="A839" s="13" t="str">
        <f>MID(Indicadores[[#This Row],[CIIU]],2,4)</f>
        <v>9499</v>
      </c>
      <c r="B839" s="13" t="str">
        <f>Indicadores[[#This Row],[CIIU]]&amp;Indicadores[[#This Row],[Año]]</f>
        <v>S94992017</v>
      </c>
      <c r="C839" s="14" t="s">
        <v>3503</v>
      </c>
      <c r="D839" s="14" t="s">
        <v>3504</v>
      </c>
      <c r="E839" s="848">
        <v>2017</v>
      </c>
      <c r="F839" s="849" t="s">
        <v>3508</v>
      </c>
      <c r="G839" s="693" t="s">
        <v>3509</v>
      </c>
      <c r="H839" s="848" t="s">
        <v>3510</v>
      </c>
      <c r="I839" s="693" t="s">
        <v>3509</v>
      </c>
      <c r="J839" s="847">
        <v>6092190</v>
      </c>
      <c r="K839" s="847">
        <v>8169302</v>
      </c>
      <c r="L839" s="841">
        <v>48113866</v>
      </c>
      <c r="M839" s="847">
        <v>13136871</v>
      </c>
      <c r="N839" s="839">
        <f>Indicadores[[#This Row],[Ventas]]/Indicadores[[#This Row],[Activos totales]]</f>
        <v>0.27303711158858029</v>
      </c>
      <c r="O839" s="837">
        <f>IF(Indicadores[[#This Row],[Ventas]]=0,0,Indicadores[[#This Row],[EBITDA]]/Indicadores[[#This Row],[Ventas]])</f>
        <v>0.62186056329547579</v>
      </c>
      <c r="P839" s="837">
        <f>IF(Indicadores[[#This Row],[Ventas]]=0,0,Indicadores[[#This Row],[UAI]]/Indicadores[[#This Row],[Ventas]])</f>
        <v>0.46374741747863701</v>
      </c>
      <c r="Q839" s="837">
        <f>IFERROR(Indicadores[[#This Row],[Ventas]]/Indicadores[[#This Row],[Activos totales]],0)</f>
        <v>0.27303711158858029</v>
      </c>
    </row>
    <row r="840" spans="1:17" hidden="1" x14ac:dyDescent="0.35">
      <c r="A840" s="13" t="str">
        <f>MID(Indicadores[[#This Row],[CIIU]],2,4)</f>
        <v>9511</v>
      </c>
      <c r="B840" s="13" t="str">
        <f>Indicadores[[#This Row],[CIIU]]&amp;Indicadores[[#This Row],[Año]]</f>
        <v>S95112017</v>
      </c>
      <c r="C840" s="14" t="s">
        <v>3503</v>
      </c>
      <c r="D840" s="14" t="s">
        <v>3511</v>
      </c>
      <c r="E840" s="848">
        <v>2017</v>
      </c>
      <c r="F840" s="849" t="s">
        <v>3512</v>
      </c>
      <c r="G840" s="693" t="s">
        <v>3513</v>
      </c>
      <c r="H840" s="848" t="s">
        <v>3514</v>
      </c>
      <c r="I840" s="693" t="s">
        <v>3513</v>
      </c>
      <c r="J840" s="847">
        <v>31446219</v>
      </c>
      <c r="K840" s="847">
        <v>38055291</v>
      </c>
      <c r="L840" s="841">
        <v>254840132</v>
      </c>
      <c r="M840" s="847">
        <v>292273200</v>
      </c>
      <c r="N840" s="839">
        <f>Indicadores[[#This Row],[Ventas]]/Indicadores[[#This Row],[Activos totales]]</f>
        <v>1.1468884343538168</v>
      </c>
      <c r="O840" s="837">
        <f>IF(Indicadores[[#This Row],[Ventas]]=0,0,Indicadores[[#This Row],[EBITDA]]/Indicadores[[#This Row],[Ventas]])</f>
        <v>0.13020451755412402</v>
      </c>
      <c r="P840" s="837">
        <f>IF(Indicadores[[#This Row],[Ventas]]=0,0,Indicadores[[#This Row],[UAI]]/Indicadores[[#This Row],[Ventas]])</f>
        <v>0.10759186610335809</v>
      </c>
      <c r="Q840" s="837">
        <f>IFERROR(Indicadores[[#This Row],[Ventas]]/Indicadores[[#This Row],[Activos totales]],0)</f>
        <v>1.1468884343538168</v>
      </c>
    </row>
    <row r="841" spans="1:17" hidden="1" x14ac:dyDescent="0.35">
      <c r="A841" s="13" t="str">
        <f>MID(Indicadores[[#This Row],[CIIU]],2,4)</f>
        <v>9512</v>
      </c>
      <c r="B841" s="13" t="str">
        <f>Indicadores[[#This Row],[CIIU]]&amp;Indicadores[[#This Row],[Año]]</f>
        <v>S95122017</v>
      </c>
      <c r="C841" s="14" t="s">
        <v>3503</v>
      </c>
      <c r="D841" s="14" t="s">
        <v>3511</v>
      </c>
      <c r="E841" s="848">
        <v>2017</v>
      </c>
      <c r="F841" s="849" t="s">
        <v>3515</v>
      </c>
      <c r="G841" s="693" t="s">
        <v>3516</v>
      </c>
      <c r="H841" s="848" t="s">
        <v>3517</v>
      </c>
      <c r="I841" s="693" t="s">
        <v>3516</v>
      </c>
      <c r="J841" s="847">
        <v>837356</v>
      </c>
      <c r="K841" s="847">
        <v>263853</v>
      </c>
      <c r="L841" s="841">
        <v>83193611</v>
      </c>
      <c r="M841" s="847">
        <v>81651185</v>
      </c>
      <c r="N841" s="839">
        <f>Indicadores[[#This Row],[Ventas]]/Indicadores[[#This Row],[Activos totales]]</f>
        <v>0.98145980224370832</v>
      </c>
      <c r="O841" s="837">
        <f>IF(Indicadores[[#This Row],[Ventas]]=0,0,Indicadores[[#This Row],[EBITDA]]/Indicadores[[#This Row],[Ventas]])</f>
        <v>3.2314656547850467E-3</v>
      </c>
      <c r="P841" s="837">
        <f>IF(Indicadores[[#This Row],[Ventas]]=0,0,Indicadores[[#This Row],[UAI]]/Indicadores[[#This Row],[Ventas]])</f>
        <v>1.0255282884136954E-2</v>
      </c>
      <c r="Q841" s="837">
        <f>IFERROR(Indicadores[[#This Row],[Ventas]]/Indicadores[[#This Row],[Activos totales]],0)</f>
        <v>0.98145980224370832</v>
      </c>
    </row>
    <row r="842" spans="1:17" hidden="1" x14ac:dyDescent="0.35">
      <c r="A842" s="13" t="str">
        <f>MID(Indicadores[[#This Row],[CIIU]],2,4)</f>
        <v>9601</v>
      </c>
      <c r="B842" s="13" t="str">
        <f>Indicadores[[#This Row],[CIIU]]&amp;Indicadores[[#This Row],[Año]]</f>
        <v>S96012017</v>
      </c>
      <c r="C842" s="14" t="s">
        <v>3503</v>
      </c>
      <c r="D842" s="14" t="s">
        <v>3524</v>
      </c>
      <c r="E842" s="848">
        <v>2017</v>
      </c>
      <c r="F842" s="849" t="s">
        <v>3525</v>
      </c>
      <c r="G842" s="693" t="s">
        <v>3526</v>
      </c>
      <c r="H842" s="848" t="s">
        <v>3527</v>
      </c>
      <c r="I842" s="693" t="s">
        <v>3526</v>
      </c>
      <c r="J842" s="847">
        <v>-9422503</v>
      </c>
      <c r="K842" s="847">
        <v>-9151693</v>
      </c>
      <c r="L842" s="841">
        <v>81117179</v>
      </c>
      <c r="M842" s="847">
        <v>54706055</v>
      </c>
      <c r="N842" s="839">
        <f>Indicadores[[#This Row],[Ventas]]/Indicadores[[#This Row],[Activos totales]]</f>
        <v>0.67440776016138337</v>
      </c>
      <c r="O842" s="837">
        <f>IF(Indicadores[[#This Row],[Ventas]]=0,0,Indicadores[[#This Row],[EBITDA]]/Indicadores[[#This Row],[Ventas]])</f>
        <v>-0.16728848387989226</v>
      </c>
      <c r="P842" s="837">
        <f>IF(Indicadores[[#This Row],[Ventas]]=0,0,Indicadores[[#This Row],[UAI]]/Indicadores[[#This Row],[Ventas]])</f>
        <v>-0.17223875857983179</v>
      </c>
      <c r="Q842" s="837">
        <f>IFERROR(Indicadores[[#This Row],[Ventas]]/Indicadores[[#This Row],[Activos totales]],0)</f>
        <v>0.67440776016138337</v>
      </c>
    </row>
    <row r="843" spans="1:17" hidden="1" x14ac:dyDescent="0.35">
      <c r="A843" s="13" t="str">
        <f>MID(Indicadores[[#This Row],[CIIU]],2,4)</f>
        <v>9603</v>
      </c>
      <c r="B843" s="13" t="str">
        <f>Indicadores[[#This Row],[CIIU]]&amp;Indicadores[[#This Row],[Año]]</f>
        <v>S96032017</v>
      </c>
      <c r="C843" s="14" t="s">
        <v>3503</v>
      </c>
      <c r="D843" s="14" t="s">
        <v>3524</v>
      </c>
      <c r="E843" s="848">
        <v>2017</v>
      </c>
      <c r="F843" s="849" t="s">
        <v>3528</v>
      </c>
      <c r="G843" s="693" t="s">
        <v>3529</v>
      </c>
      <c r="H843" s="848" t="s">
        <v>3530</v>
      </c>
      <c r="I843" s="693" t="s">
        <v>3529</v>
      </c>
      <c r="J843" s="847">
        <v>50697807</v>
      </c>
      <c r="K843" s="847">
        <v>86079013</v>
      </c>
      <c r="L843" s="841">
        <v>989118903</v>
      </c>
      <c r="M843" s="847">
        <v>726448581</v>
      </c>
      <c r="N843" s="839">
        <f>Indicadores[[#This Row],[Ventas]]/Indicadores[[#This Row],[Activos totales]]</f>
        <v>0.73444009491344242</v>
      </c>
      <c r="O843" s="837">
        <f>IF(Indicadores[[#This Row],[Ventas]]=0,0,Indicadores[[#This Row],[EBITDA]]/Indicadores[[#This Row],[Ventas]])</f>
        <v>0.11849291918432421</v>
      </c>
      <c r="P843" s="837">
        <f>IF(Indicadores[[#This Row],[Ventas]]=0,0,Indicadores[[#This Row],[UAI]]/Indicadores[[#This Row],[Ventas]])</f>
        <v>6.9788569110027621E-2</v>
      </c>
      <c r="Q843" s="837">
        <f>IFERROR(Indicadores[[#This Row],[Ventas]]/Indicadores[[#This Row],[Activos totales]],0)</f>
        <v>0.73444009491344242</v>
      </c>
    </row>
    <row r="844" spans="1:17" hidden="1" x14ac:dyDescent="0.35">
      <c r="A844" s="13" t="str">
        <f>MID(Indicadores[[#This Row],[CIIU]],2,4)</f>
        <v>9609</v>
      </c>
      <c r="B844" s="13" t="str">
        <f>Indicadores[[#This Row],[CIIU]]&amp;Indicadores[[#This Row],[Año]]</f>
        <v>S96092017</v>
      </c>
      <c r="C844" s="14" t="s">
        <v>3503</v>
      </c>
      <c r="D844" s="14" t="s">
        <v>3524</v>
      </c>
      <c r="E844" s="848">
        <v>2017</v>
      </c>
      <c r="F844" s="849" t="s">
        <v>3531</v>
      </c>
      <c r="G844" s="693" t="s">
        <v>3532</v>
      </c>
      <c r="H844" s="848" t="s">
        <v>3533</v>
      </c>
      <c r="I844" s="693" t="s">
        <v>3532</v>
      </c>
      <c r="J844" s="847">
        <v>41248441</v>
      </c>
      <c r="K844" s="847">
        <v>47431656</v>
      </c>
      <c r="L844" s="841">
        <v>365968519</v>
      </c>
      <c r="M844" s="847">
        <v>266810612</v>
      </c>
      <c r="N844" s="839">
        <f>Indicadores[[#This Row],[Ventas]]/Indicadores[[#This Row],[Activos totales]]</f>
        <v>0.72905345172599401</v>
      </c>
      <c r="O844" s="837">
        <f>IF(Indicadores[[#This Row],[Ventas]]=0,0,Indicadores[[#This Row],[EBITDA]]/Indicadores[[#This Row],[Ventas]])</f>
        <v>0.17777274915886779</v>
      </c>
      <c r="P844" s="837">
        <f>IF(Indicadores[[#This Row],[Ventas]]=0,0,Indicadores[[#This Row],[UAI]]/Indicadores[[#This Row],[Ventas]])</f>
        <v>0.15459820241332831</v>
      </c>
      <c r="Q844" s="837">
        <f>IFERROR(Indicadores[[#This Row],[Ventas]]/Indicadores[[#This Row],[Activos totales]],0)</f>
        <v>0.72905345172599401</v>
      </c>
    </row>
    <row r="845" spans="1:17" hidden="1" x14ac:dyDescent="0.3">
      <c r="A845" s="13" t="str">
        <f>MID(Indicadores[[#This Row],[CIIU]],2,4)</f>
        <v>0111</v>
      </c>
      <c r="B845" s="13" t="str">
        <f>Indicadores[[#This Row],[CIIU]]&amp;Indicadores[[#This Row],[Año]]</f>
        <v>A01112018</v>
      </c>
      <c r="C845" s="845" t="s">
        <v>2108</v>
      </c>
      <c r="D845" s="845" t="s">
        <v>2109</v>
      </c>
      <c r="E845" s="843">
        <v>2018</v>
      </c>
      <c r="F845" s="844" t="s">
        <v>2110</v>
      </c>
      <c r="G845" s="842" t="s">
        <v>2111</v>
      </c>
      <c r="H845" s="843" t="s">
        <v>2112</v>
      </c>
      <c r="I845" s="842" t="s">
        <v>2113</v>
      </c>
      <c r="J845" s="840">
        <v>-54176208</v>
      </c>
      <c r="K845" s="840">
        <v>-47958898</v>
      </c>
      <c r="L845" s="841">
        <v>405621513</v>
      </c>
      <c r="M845" s="840">
        <v>91589385</v>
      </c>
      <c r="N845" s="839">
        <f>Indicadores[[#This Row],[Ventas]]/Indicadores[[#This Row],[Activos totales]]</f>
        <v>0.22580011677043371</v>
      </c>
      <c r="O845" s="837">
        <f>IF(Indicadores[[#This Row],[Ventas]]=0,0,Indicadores[[#This Row],[EBITDA]]/Indicadores[[#This Row],[Ventas]])</f>
        <v>-0.52362943587840449</v>
      </c>
      <c r="P845" s="837">
        <f>IF(Indicadores[[#This Row],[Ventas]]=0,0,Indicadores[[#This Row],[UAI]]/Indicadores[[#This Row],[Ventas]])</f>
        <v>-0.59151186570365111</v>
      </c>
      <c r="Q845" s="837">
        <f>IFERROR(Indicadores[[#This Row],[Ventas]]/Indicadores[[#This Row],[Activos totales]],0)</f>
        <v>0.22580011677043371</v>
      </c>
    </row>
    <row r="846" spans="1:17" hidden="1" x14ac:dyDescent="0.3">
      <c r="A846" s="13" t="str">
        <f>MID(Indicadores[[#This Row],[CIIU]],2,4)</f>
        <v>0112</v>
      </c>
      <c r="B846" s="13" t="str">
        <f>Indicadores[[#This Row],[CIIU]]&amp;Indicadores[[#This Row],[Año]]</f>
        <v>A01122018</v>
      </c>
      <c r="C846" s="845" t="s">
        <v>2108</v>
      </c>
      <c r="D846" s="845" t="s">
        <v>2109</v>
      </c>
      <c r="E846" s="843">
        <v>2018</v>
      </c>
      <c r="F846" s="844" t="s">
        <v>2114</v>
      </c>
      <c r="G846" s="842" t="s">
        <v>2115</v>
      </c>
      <c r="H846" s="843" t="s">
        <v>2116</v>
      </c>
      <c r="I846" s="842" t="s">
        <v>2117</v>
      </c>
      <c r="J846" s="840">
        <v>24718902</v>
      </c>
      <c r="K846" s="840">
        <v>33389037</v>
      </c>
      <c r="L846" s="841">
        <v>738324775</v>
      </c>
      <c r="M846" s="840">
        <v>185789090</v>
      </c>
      <c r="N846" s="839">
        <f>Indicadores[[#This Row],[Ventas]]/Indicadores[[#This Row],[Activos totales]]</f>
        <v>0.25163599582582069</v>
      </c>
      <c r="O846" s="837">
        <f>IF(Indicadores[[#This Row],[Ventas]]=0,0,Indicadores[[#This Row],[EBITDA]]/Indicadores[[#This Row],[Ventas]])</f>
        <v>0.17971473459501847</v>
      </c>
      <c r="P846" s="837">
        <f>IF(Indicadores[[#This Row],[Ventas]]=0,0,Indicadores[[#This Row],[UAI]]/Indicadores[[#This Row],[Ventas]])</f>
        <v>0.13304818921283268</v>
      </c>
      <c r="Q846" s="837">
        <f>IFERROR(Indicadores[[#This Row],[Ventas]]/Indicadores[[#This Row],[Activos totales]],0)</f>
        <v>0.25163599582582069</v>
      </c>
    </row>
    <row r="847" spans="1:17" hidden="1" x14ac:dyDescent="0.3">
      <c r="A847" s="13" t="str">
        <f>MID(Indicadores[[#This Row],[CIIU]],2,4)</f>
        <v>0113</v>
      </c>
      <c r="B847" s="13" t="str">
        <f>Indicadores[[#This Row],[CIIU]]&amp;Indicadores[[#This Row],[Año]]</f>
        <v>A01132018</v>
      </c>
      <c r="C847" s="845" t="s">
        <v>2108</v>
      </c>
      <c r="D847" s="845" t="s">
        <v>2109</v>
      </c>
      <c r="E847" s="843">
        <v>2018</v>
      </c>
      <c r="F847" s="844" t="s">
        <v>2118</v>
      </c>
      <c r="G847" s="842" t="s">
        <v>2119</v>
      </c>
      <c r="H847" s="843" t="s">
        <v>2120</v>
      </c>
      <c r="I847" s="842" t="s">
        <v>2121</v>
      </c>
      <c r="J847" s="840">
        <v>6440747</v>
      </c>
      <c r="K847" s="840">
        <v>17410152</v>
      </c>
      <c r="L847" s="841">
        <v>245545566</v>
      </c>
      <c r="M847" s="840">
        <v>153725172</v>
      </c>
      <c r="N847" s="839">
        <f>Indicadores[[#This Row],[Ventas]]/Indicadores[[#This Row],[Activos totales]]</f>
        <v>0.62605558106473813</v>
      </c>
      <c r="O847" s="837">
        <f>IF(Indicadores[[#This Row],[Ventas]]=0,0,Indicadores[[#This Row],[EBITDA]]/Indicadores[[#This Row],[Ventas]])</f>
        <v>0.11325504973251876</v>
      </c>
      <c r="P847" s="837">
        <f>IF(Indicadores[[#This Row],[Ventas]]=0,0,Indicadores[[#This Row],[UAI]]/Indicadores[[#This Row],[Ventas]])</f>
        <v>4.1897803178258926E-2</v>
      </c>
      <c r="Q847" s="837">
        <f>IFERROR(Indicadores[[#This Row],[Ventas]]/Indicadores[[#This Row],[Activos totales]],0)</f>
        <v>0.62605558106473813</v>
      </c>
    </row>
    <row r="848" spans="1:17" hidden="1" x14ac:dyDescent="0.3">
      <c r="A848" s="13" t="str">
        <f>MID(Indicadores[[#This Row],[CIIU]],2,4)</f>
        <v>0115</v>
      </c>
      <c r="B848" s="13" t="str">
        <f>Indicadores[[#This Row],[CIIU]]&amp;Indicadores[[#This Row],[Año]]</f>
        <v>A01152018</v>
      </c>
      <c r="C848" s="845" t="s">
        <v>2108</v>
      </c>
      <c r="D848" s="845" t="s">
        <v>2109</v>
      </c>
      <c r="E848" s="843">
        <v>2018</v>
      </c>
      <c r="F848" s="844" t="s">
        <v>2126</v>
      </c>
      <c r="G848" s="842" t="s">
        <v>2127</v>
      </c>
      <c r="H848" s="843" t="s">
        <v>2128</v>
      </c>
      <c r="I848" s="842" t="s">
        <v>2129</v>
      </c>
      <c r="J848" s="840">
        <v>459540</v>
      </c>
      <c r="K848" s="840">
        <v>700563</v>
      </c>
      <c r="L848" s="841">
        <v>7572693</v>
      </c>
      <c r="M848" s="840">
        <v>10573071</v>
      </c>
      <c r="N848" s="839">
        <f>Indicadores[[#This Row],[Ventas]]/Indicadores[[#This Row],[Activos totales]]</f>
        <v>1.3962101725238301</v>
      </c>
      <c r="O848" s="837">
        <f>IF(Indicadores[[#This Row],[Ventas]]=0,0,Indicadores[[#This Row],[EBITDA]]/Indicadores[[#This Row],[Ventas]])</f>
        <v>6.6259178624639897E-2</v>
      </c>
      <c r="P848" s="837">
        <f>IF(Indicadores[[#This Row],[Ventas]]=0,0,Indicadores[[#This Row],[UAI]]/Indicadores[[#This Row],[Ventas]])</f>
        <v>4.3463247338450674E-2</v>
      </c>
      <c r="Q848" s="837">
        <f>IFERROR(Indicadores[[#This Row],[Ventas]]/Indicadores[[#This Row],[Activos totales]],0)</f>
        <v>1.3962101725238301</v>
      </c>
    </row>
    <row r="849" spans="1:17" hidden="1" x14ac:dyDescent="0.3">
      <c r="A849" s="13" t="str">
        <f>MID(Indicadores[[#This Row],[CIIU]],2,4)</f>
        <v>0119</v>
      </c>
      <c r="B849" s="13" t="str">
        <f>Indicadores[[#This Row],[CIIU]]&amp;Indicadores[[#This Row],[Año]]</f>
        <v>A01192018</v>
      </c>
      <c r="C849" s="845" t="s">
        <v>2108</v>
      </c>
      <c r="D849" s="845" t="s">
        <v>2109</v>
      </c>
      <c r="E849" s="843">
        <v>2018</v>
      </c>
      <c r="F849" s="844" t="s">
        <v>2130</v>
      </c>
      <c r="G849" s="842" t="s">
        <v>2131</v>
      </c>
      <c r="H849" s="843" t="s">
        <v>2132</v>
      </c>
      <c r="I849" s="842" t="s">
        <v>2131</v>
      </c>
      <c r="J849" s="840">
        <v>9444457</v>
      </c>
      <c r="K849" s="840">
        <v>10426156</v>
      </c>
      <c r="L849" s="841">
        <v>372351245</v>
      </c>
      <c r="M849" s="840">
        <v>66347397</v>
      </c>
      <c r="N849" s="839">
        <f>Indicadores[[#This Row],[Ventas]]/Indicadores[[#This Row],[Activos totales]]</f>
        <v>0.17818497424387555</v>
      </c>
      <c r="O849" s="837">
        <f>IF(Indicadores[[#This Row],[Ventas]]=0,0,Indicadores[[#This Row],[EBITDA]]/Indicadores[[#This Row],[Ventas]])</f>
        <v>0.15714491406497832</v>
      </c>
      <c r="P849" s="837">
        <f>IF(Indicadores[[#This Row],[Ventas]]=0,0,Indicadores[[#This Row],[UAI]]/Indicadores[[#This Row],[Ventas]])</f>
        <v>0.14234856870119561</v>
      </c>
      <c r="Q849" s="837">
        <f>IFERROR(Indicadores[[#This Row],[Ventas]]/Indicadores[[#This Row],[Activos totales]],0)</f>
        <v>0.17818497424387555</v>
      </c>
    </row>
    <row r="850" spans="1:17" hidden="1" x14ac:dyDescent="0.3">
      <c r="A850" s="13" t="str">
        <f>MID(Indicadores[[#This Row],[CIIU]],2,4)</f>
        <v>0121</v>
      </c>
      <c r="B850" s="13" t="str">
        <f>Indicadores[[#This Row],[CIIU]]&amp;Indicadores[[#This Row],[Año]]</f>
        <v>A01212018</v>
      </c>
      <c r="C850" s="845" t="s">
        <v>2108</v>
      </c>
      <c r="D850" s="845" t="s">
        <v>2109</v>
      </c>
      <c r="E850" s="843">
        <v>2018</v>
      </c>
      <c r="F850" s="844" t="s">
        <v>2133</v>
      </c>
      <c r="G850" s="842" t="s">
        <v>2134</v>
      </c>
      <c r="H850" s="843" t="s">
        <v>2135</v>
      </c>
      <c r="I850" s="842" t="s">
        <v>2134</v>
      </c>
      <c r="J850" s="840">
        <v>-6170949</v>
      </c>
      <c r="K850" s="840">
        <v>5041678</v>
      </c>
      <c r="L850" s="841">
        <v>789749539</v>
      </c>
      <c r="M850" s="840">
        <v>142779668</v>
      </c>
      <c r="N850" s="839">
        <f>Indicadores[[#This Row],[Ventas]]/Indicadores[[#This Row],[Activos totales]]</f>
        <v>0.18079107482707882</v>
      </c>
      <c r="O850" s="837">
        <f>IF(Indicadores[[#This Row],[Ventas]]=0,0,Indicadores[[#This Row],[EBITDA]]/Indicadores[[#This Row],[Ventas]])</f>
        <v>3.5310895946333201E-2</v>
      </c>
      <c r="P850" s="837">
        <f>IF(Indicadores[[#This Row],[Ventas]]=0,0,Indicadores[[#This Row],[UAI]]/Indicadores[[#This Row],[Ventas]])</f>
        <v>-4.3220082287906705E-2</v>
      </c>
      <c r="Q850" s="837">
        <f>IFERROR(Indicadores[[#This Row],[Ventas]]/Indicadores[[#This Row],[Activos totales]],0)</f>
        <v>0.18079107482707882</v>
      </c>
    </row>
    <row r="851" spans="1:17" hidden="1" x14ac:dyDescent="0.3">
      <c r="A851" s="13" t="str">
        <f>MID(Indicadores[[#This Row],[CIIU]],2,4)</f>
        <v>0122</v>
      </c>
      <c r="B851" s="13" t="str">
        <f>Indicadores[[#This Row],[CIIU]]&amp;Indicadores[[#This Row],[Año]]</f>
        <v>A01222018</v>
      </c>
      <c r="C851" s="845" t="s">
        <v>2108</v>
      </c>
      <c r="D851" s="845" t="s">
        <v>2109</v>
      </c>
      <c r="E851" s="843">
        <v>2018</v>
      </c>
      <c r="F851" s="844" t="s">
        <v>2136</v>
      </c>
      <c r="G851" s="842" t="s">
        <v>2137</v>
      </c>
      <c r="H851" s="843" t="s">
        <v>2138</v>
      </c>
      <c r="I851" s="842" t="s">
        <v>2137</v>
      </c>
      <c r="J851" s="840">
        <v>31859714</v>
      </c>
      <c r="K851" s="840">
        <v>81640935</v>
      </c>
      <c r="L851" s="841">
        <v>3526876955</v>
      </c>
      <c r="M851" s="840">
        <v>1372653691</v>
      </c>
      <c r="N851" s="839">
        <f>Indicadores[[#This Row],[Ventas]]/Indicadores[[#This Row],[Activos totales]]</f>
        <v>0.38919806631019821</v>
      </c>
      <c r="O851" s="837">
        <f>IF(Indicadores[[#This Row],[Ventas]]=0,0,Indicadores[[#This Row],[EBITDA]]/Indicadores[[#This Row],[Ventas]])</f>
        <v>5.9476716913588946E-2</v>
      </c>
      <c r="P851" s="837">
        <f>IF(Indicadores[[#This Row],[Ventas]]=0,0,Indicadores[[#This Row],[UAI]]/Indicadores[[#This Row],[Ventas]])</f>
        <v>2.3210307311226981E-2</v>
      </c>
      <c r="Q851" s="837">
        <f>IFERROR(Indicadores[[#This Row],[Ventas]]/Indicadores[[#This Row],[Activos totales]],0)</f>
        <v>0.38919806631019821</v>
      </c>
    </row>
    <row r="852" spans="1:17" hidden="1" x14ac:dyDescent="0.3">
      <c r="A852" s="13" t="str">
        <f>MID(Indicadores[[#This Row],[CIIU]],2,4)</f>
        <v>0123</v>
      </c>
      <c r="B852" s="13" t="str">
        <f>Indicadores[[#This Row],[CIIU]]&amp;Indicadores[[#This Row],[Año]]</f>
        <v>A01232018</v>
      </c>
      <c r="C852" s="845" t="s">
        <v>2108</v>
      </c>
      <c r="D852" s="845" t="s">
        <v>2109</v>
      </c>
      <c r="E852" s="843">
        <v>2018</v>
      </c>
      <c r="F852" s="844" t="s">
        <v>2139</v>
      </c>
      <c r="G852" s="842" t="s">
        <v>2140</v>
      </c>
      <c r="H852" s="843" t="s">
        <v>2141</v>
      </c>
      <c r="I852" s="842" t="s">
        <v>2140</v>
      </c>
      <c r="J852" s="840">
        <v>9554201</v>
      </c>
      <c r="K852" s="840">
        <v>12225320</v>
      </c>
      <c r="L852" s="841">
        <v>373860262</v>
      </c>
      <c r="M852" s="840">
        <v>101238714</v>
      </c>
      <c r="N852" s="839">
        <f>Indicadores[[#This Row],[Ventas]]/Indicadores[[#This Row],[Activos totales]]</f>
        <v>0.27079292529891824</v>
      </c>
      <c r="O852" s="837">
        <f>IF(Indicadores[[#This Row],[Ventas]]=0,0,Indicadores[[#This Row],[EBITDA]]/Indicadores[[#This Row],[Ventas]])</f>
        <v>0.12075736165514706</v>
      </c>
      <c r="P852" s="837">
        <f>IF(Indicadores[[#This Row],[Ventas]]=0,0,Indicadores[[#This Row],[UAI]]/Indicadores[[#This Row],[Ventas]])</f>
        <v>9.4372998455906895E-2</v>
      </c>
      <c r="Q852" s="837">
        <f>IFERROR(Indicadores[[#This Row],[Ventas]]/Indicadores[[#This Row],[Activos totales]],0)</f>
        <v>0.27079292529891824</v>
      </c>
    </row>
    <row r="853" spans="1:17" hidden="1" x14ac:dyDescent="0.3">
      <c r="A853" s="13" t="str">
        <f>MID(Indicadores[[#This Row],[CIIU]],2,4)</f>
        <v>0124</v>
      </c>
      <c r="B853" s="13" t="str">
        <f>Indicadores[[#This Row],[CIIU]]&amp;Indicadores[[#This Row],[Año]]</f>
        <v>A01242018</v>
      </c>
      <c r="C853" s="845" t="s">
        <v>2108</v>
      </c>
      <c r="D853" s="845" t="s">
        <v>2109</v>
      </c>
      <c r="E853" s="843">
        <v>2018</v>
      </c>
      <c r="F853" s="844" t="s">
        <v>2142</v>
      </c>
      <c r="G853" s="842" t="s">
        <v>2143</v>
      </c>
      <c r="H853" s="843" t="s">
        <v>2144</v>
      </c>
      <c r="I853" s="842" t="s">
        <v>2143</v>
      </c>
      <c r="J853" s="840">
        <v>-196008259</v>
      </c>
      <c r="K853" s="840">
        <v>-172150314</v>
      </c>
      <c r="L853" s="841">
        <v>3920723833</v>
      </c>
      <c r="M853" s="840">
        <v>513364316</v>
      </c>
      <c r="N853" s="839">
        <f>Indicadores[[#This Row],[Ventas]]/Indicadores[[#This Row],[Activos totales]]</f>
        <v>0.13093610717467741</v>
      </c>
      <c r="O853" s="837">
        <f>IF(Indicadores[[#This Row],[Ventas]]=0,0,Indicadores[[#This Row],[EBITDA]]/Indicadores[[#This Row],[Ventas]])</f>
        <v>-0.33533751496666159</v>
      </c>
      <c r="P853" s="837">
        <f>IF(Indicadores[[#This Row],[Ventas]]=0,0,Indicadores[[#This Row],[UAI]]/Indicadores[[#This Row],[Ventas]])</f>
        <v>-0.38181122624035285</v>
      </c>
      <c r="Q853" s="837">
        <f>IFERROR(Indicadores[[#This Row],[Ventas]]/Indicadores[[#This Row],[Activos totales]],0)</f>
        <v>0.13093610717467741</v>
      </c>
    </row>
    <row r="854" spans="1:17" hidden="1" x14ac:dyDescent="0.3">
      <c r="A854" s="13" t="str">
        <f>MID(Indicadores[[#This Row],[CIIU]],2,4)</f>
        <v>0125</v>
      </c>
      <c r="B854" s="13" t="str">
        <f>Indicadores[[#This Row],[CIIU]]&amp;Indicadores[[#This Row],[Año]]</f>
        <v>A01252018</v>
      </c>
      <c r="C854" s="845" t="s">
        <v>2108</v>
      </c>
      <c r="D854" s="845" t="s">
        <v>2109</v>
      </c>
      <c r="E854" s="843">
        <v>2018</v>
      </c>
      <c r="F854" s="844" t="s">
        <v>2145</v>
      </c>
      <c r="G854" s="842" t="s">
        <v>2146</v>
      </c>
      <c r="H854" s="843" t="s">
        <v>2147</v>
      </c>
      <c r="I854" s="842" t="s">
        <v>2146</v>
      </c>
      <c r="J854" s="840">
        <v>111344910</v>
      </c>
      <c r="K854" s="840">
        <v>323528926</v>
      </c>
      <c r="L854" s="841">
        <v>3561668521</v>
      </c>
      <c r="M854" s="840">
        <v>3588722206</v>
      </c>
      <c r="N854" s="839">
        <f>Indicadores[[#This Row],[Ventas]]/Indicadores[[#This Row],[Activos totales]]</f>
        <v>1.0075957896812935</v>
      </c>
      <c r="O854" s="837">
        <f>IF(Indicadores[[#This Row],[Ventas]]=0,0,Indicadores[[#This Row],[EBITDA]]/Indicadores[[#This Row],[Ventas]])</f>
        <v>9.0151565774327869E-2</v>
      </c>
      <c r="P854" s="837">
        <f>IF(Indicadores[[#This Row],[Ventas]]=0,0,Indicadores[[#This Row],[UAI]]/Indicadores[[#This Row],[Ventas]])</f>
        <v>3.1026338515096535E-2</v>
      </c>
      <c r="Q854" s="837">
        <f>IFERROR(Indicadores[[#This Row],[Ventas]]/Indicadores[[#This Row],[Activos totales]],0)</f>
        <v>1.0075957896812935</v>
      </c>
    </row>
    <row r="855" spans="1:17" hidden="1" x14ac:dyDescent="0.3">
      <c r="A855" s="13" t="str">
        <f>MID(Indicadores[[#This Row],[CIIU]],2,4)</f>
        <v>0126</v>
      </c>
      <c r="B855" s="13" t="str">
        <f>Indicadores[[#This Row],[CIIU]]&amp;Indicadores[[#This Row],[Año]]</f>
        <v>A01262018</v>
      </c>
      <c r="C855" s="845" t="s">
        <v>2108</v>
      </c>
      <c r="D855" s="845" t="s">
        <v>2109</v>
      </c>
      <c r="E855" s="843">
        <v>2018</v>
      </c>
      <c r="F855" s="844" t="s">
        <v>2148</v>
      </c>
      <c r="G855" s="842" t="s">
        <v>2149</v>
      </c>
      <c r="H855" s="843" t="s">
        <v>2150</v>
      </c>
      <c r="I855" s="842" t="s">
        <v>2149</v>
      </c>
      <c r="J855" s="840">
        <v>-27651518</v>
      </c>
      <c r="K855" s="840">
        <v>66840687</v>
      </c>
      <c r="L855" s="841">
        <v>5610729720</v>
      </c>
      <c r="M855" s="840">
        <v>1319033414</v>
      </c>
      <c r="N855" s="839">
        <f>Indicadores[[#This Row],[Ventas]]/Indicadores[[#This Row],[Activos totales]]</f>
        <v>0.23509124121559005</v>
      </c>
      <c r="O855" s="837">
        <f>IF(Indicadores[[#This Row],[Ventas]]=0,0,Indicadores[[#This Row],[EBITDA]]/Indicadores[[#This Row],[Ventas]])</f>
        <v>5.067399073485488E-2</v>
      </c>
      <c r="P855" s="837">
        <f>IF(Indicadores[[#This Row],[Ventas]]=0,0,Indicadores[[#This Row],[UAI]]/Indicadores[[#This Row],[Ventas]])</f>
        <v>-2.0963470452311075E-2</v>
      </c>
      <c r="Q855" s="837">
        <f>IFERROR(Indicadores[[#This Row],[Ventas]]/Indicadores[[#This Row],[Activos totales]],0)</f>
        <v>0.23509124121559005</v>
      </c>
    </row>
    <row r="856" spans="1:17" hidden="1" x14ac:dyDescent="0.3">
      <c r="A856" s="13" t="str">
        <f>MID(Indicadores[[#This Row],[CIIU]],2,4)</f>
        <v>0127</v>
      </c>
      <c r="B856" s="13" t="str">
        <f>Indicadores[[#This Row],[CIIU]]&amp;Indicadores[[#This Row],[Año]]</f>
        <v>A01272018</v>
      </c>
      <c r="C856" s="845" t="s">
        <v>2108</v>
      </c>
      <c r="D856" s="845" t="s">
        <v>2109</v>
      </c>
      <c r="E856" s="843">
        <v>2018</v>
      </c>
      <c r="F856" s="844" t="s">
        <v>2151</v>
      </c>
      <c r="G856" s="842" t="s">
        <v>2152</v>
      </c>
      <c r="H856" s="843" t="s">
        <v>2153</v>
      </c>
      <c r="I856" s="842" t="s">
        <v>2152</v>
      </c>
      <c r="J856" s="840">
        <v>4658076</v>
      </c>
      <c r="K856" s="840">
        <v>5328130</v>
      </c>
      <c r="L856" s="841">
        <v>38142428</v>
      </c>
      <c r="M856" s="840">
        <v>46452684</v>
      </c>
      <c r="N856" s="839">
        <f>Indicadores[[#This Row],[Ventas]]/Indicadores[[#This Row],[Activos totales]]</f>
        <v>1.2178743314400435</v>
      </c>
      <c r="O856" s="837">
        <f>IF(Indicadores[[#This Row],[Ventas]]=0,0,Indicadores[[#This Row],[EBITDA]]/Indicadores[[#This Row],[Ventas]])</f>
        <v>0.11470015381673102</v>
      </c>
      <c r="P856" s="837">
        <f>IF(Indicadores[[#This Row],[Ventas]]=0,0,Indicadores[[#This Row],[UAI]]/Indicadores[[#This Row],[Ventas]])</f>
        <v>0.1002757128091888</v>
      </c>
      <c r="Q856" s="837">
        <f>IFERROR(Indicadores[[#This Row],[Ventas]]/Indicadores[[#This Row],[Activos totales]],0)</f>
        <v>1.2178743314400435</v>
      </c>
    </row>
    <row r="857" spans="1:17" hidden="1" x14ac:dyDescent="0.3">
      <c r="A857" s="13" t="str">
        <f>MID(Indicadores[[#This Row],[CIIU]],2,4)</f>
        <v>0128</v>
      </c>
      <c r="B857" s="13" t="str">
        <f>Indicadores[[#This Row],[CIIU]]&amp;Indicadores[[#This Row],[Año]]</f>
        <v>A01282018</v>
      </c>
      <c r="C857" s="845" t="s">
        <v>2108</v>
      </c>
      <c r="D857" s="845" t="s">
        <v>2109</v>
      </c>
      <c r="E857" s="843">
        <v>2018</v>
      </c>
      <c r="F857" s="844" t="s">
        <v>2154</v>
      </c>
      <c r="G857" s="842" t="s">
        <v>2155</v>
      </c>
      <c r="H857" s="843" t="s">
        <v>2156</v>
      </c>
      <c r="I857" s="842" t="s">
        <v>2157</v>
      </c>
      <c r="J857" s="840">
        <v>3069296</v>
      </c>
      <c r="K857" s="840">
        <v>3529805</v>
      </c>
      <c r="L857" s="841">
        <v>26853633</v>
      </c>
      <c r="M857" s="840">
        <v>28169841</v>
      </c>
      <c r="N857" s="839">
        <f>Indicadores[[#This Row],[Ventas]]/Indicadores[[#This Row],[Activos totales]]</f>
        <v>1.0490141501524206</v>
      </c>
      <c r="O857" s="837">
        <f>IF(Indicadores[[#This Row],[Ventas]]=0,0,Indicadores[[#This Row],[EBITDA]]/Indicadores[[#This Row],[Ventas]])</f>
        <v>0.12530439912671143</v>
      </c>
      <c r="P857" s="837">
        <f>IF(Indicadores[[#This Row],[Ventas]]=0,0,Indicadores[[#This Row],[UAI]]/Indicadores[[#This Row],[Ventas]])</f>
        <v>0.10895680951837819</v>
      </c>
      <c r="Q857" s="837">
        <f>IFERROR(Indicadores[[#This Row],[Ventas]]/Indicadores[[#This Row],[Activos totales]],0)</f>
        <v>1.0490141501524206</v>
      </c>
    </row>
    <row r="858" spans="1:17" hidden="1" x14ac:dyDescent="0.3">
      <c r="A858" s="13" t="str">
        <f>MID(Indicadores[[#This Row],[CIIU]],2,4)</f>
        <v>0129</v>
      </c>
      <c r="B858" s="13" t="str">
        <f>Indicadores[[#This Row],[CIIU]]&amp;Indicadores[[#This Row],[Año]]</f>
        <v>A01292018</v>
      </c>
      <c r="C858" s="845" t="s">
        <v>2108</v>
      </c>
      <c r="D858" s="845" t="s">
        <v>2109</v>
      </c>
      <c r="E858" s="843">
        <v>2018</v>
      </c>
      <c r="F858" s="844" t="s">
        <v>2158</v>
      </c>
      <c r="G858" s="842" t="s">
        <v>2159</v>
      </c>
      <c r="H858" s="843" t="s">
        <v>2160</v>
      </c>
      <c r="I858" s="842" t="s">
        <v>2159</v>
      </c>
      <c r="J858" s="840">
        <v>588651</v>
      </c>
      <c r="K858" s="840">
        <v>5079899</v>
      </c>
      <c r="L858" s="841">
        <v>382880425</v>
      </c>
      <c r="M858" s="840">
        <v>51372082</v>
      </c>
      <c r="N858" s="839">
        <f>Indicadores[[#This Row],[Ventas]]/Indicadores[[#This Row],[Activos totales]]</f>
        <v>0.13417265194479452</v>
      </c>
      <c r="O858" s="837">
        <f>IF(Indicadores[[#This Row],[Ventas]]=0,0,Indicadores[[#This Row],[EBITDA]]/Indicadores[[#This Row],[Ventas]])</f>
        <v>9.8884429095164955E-2</v>
      </c>
      <c r="P858" s="837">
        <f>IF(Indicadores[[#This Row],[Ventas]]=0,0,Indicadores[[#This Row],[UAI]]/Indicadores[[#This Row],[Ventas]])</f>
        <v>1.1458577832216339E-2</v>
      </c>
      <c r="Q858" s="837">
        <f>IFERROR(Indicadores[[#This Row],[Ventas]]/Indicadores[[#This Row],[Activos totales]],0)</f>
        <v>0.13417265194479452</v>
      </c>
    </row>
    <row r="859" spans="1:17" hidden="1" x14ac:dyDescent="0.3">
      <c r="A859" s="13" t="str">
        <f>MID(Indicadores[[#This Row],[CIIU]],2,4)</f>
        <v>0130</v>
      </c>
      <c r="B859" s="13" t="str">
        <f>Indicadores[[#This Row],[CIIU]]&amp;Indicadores[[#This Row],[Año]]</f>
        <v>A01302018</v>
      </c>
      <c r="C859" s="845" t="s">
        <v>2108</v>
      </c>
      <c r="D859" s="845" t="s">
        <v>2109</v>
      </c>
      <c r="E859" s="843">
        <v>2018</v>
      </c>
      <c r="F859" s="844" t="s">
        <v>2161</v>
      </c>
      <c r="G859" s="842" t="s">
        <v>2162</v>
      </c>
      <c r="H859" s="843" t="s">
        <v>2163</v>
      </c>
      <c r="I859" s="842" t="s">
        <v>2164</v>
      </c>
      <c r="J859" s="840">
        <v>4018656</v>
      </c>
      <c r="K859" s="840">
        <v>5232789</v>
      </c>
      <c r="L859" s="841">
        <v>143988594</v>
      </c>
      <c r="M859" s="840">
        <v>59346756</v>
      </c>
      <c r="N859" s="839">
        <f>Indicadores[[#This Row],[Ventas]]/Indicadores[[#This Row],[Activos totales]]</f>
        <v>0.41216289673611228</v>
      </c>
      <c r="O859" s="837">
        <f>IF(Indicadores[[#This Row],[Ventas]]=0,0,Indicadores[[#This Row],[EBITDA]]/Indicadores[[#This Row],[Ventas]])</f>
        <v>8.8173126093025203E-2</v>
      </c>
      <c r="P859" s="837">
        <f>IF(Indicadores[[#This Row],[Ventas]]=0,0,Indicadores[[#This Row],[UAI]]/Indicadores[[#This Row],[Ventas]])</f>
        <v>6.7714838533044677E-2</v>
      </c>
      <c r="Q859" s="837">
        <f>IFERROR(Indicadores[[#This Row],[Ventas]]/Indicadores[[#This Row],[Activos totales]],0)</f>
        <v>0.41216289673611228</v>
      </c>
    </row>
    <row r="860" spans="1:17" hidden="1" x14ac:dyDescent="0.3">
      <c r="A860" s="13" t="str">
        <f>MID(Indicadores[[#This Row],[CIIU]],2,4)</f>
        <v>0141</v>
      </c>
      <c r="B860" s="13" t="str">
        <f>Indicadores[[#This Row],[CIIU]]&amp;Indicadores[[#This Row],[Año]]</f>
        <v>A01412018</v>
      </c>
      <c r="C860" s="845" t="s">
        <v>2108</v>
      </c>
      <c r="D860" s="845" t="s">
        <v>2109</v>
      </c>
      <c r="E860" s="843">
        <v>2018</v>
      </c>
      <c r="F860" s="844" t="s">
        <v>2165</v>
      </c>
      <c r="G860" s="842" t="s">
        <v>2166</v>
      </c>
      <c r="H860" s="843" t="s">
        <v>2167</v>
      </c>
      <c r="I860" s="842" t="s">
        <v>2166</v>
      </c>
      <c r="J860" s="840">
        <v>41298658</v>
      </c>
      <c r="K860" s="840">
        <v>53315018</v>
      </c>
      <c r="L860" s="841">
        <v>3435956532</v>
      </c>
      <c r="M860" s="840">
        <v>392216714</v>
      </c>
      <c r="N860" s="839">
        <f>Indicadores[[#This Row],[Ventas]]/Indicadores[[#This Row],[Activos totales]]</f>
        <v>0.11415066236932243</v>
      </c>
      <c r="O860" s="837">
        <f>IF(Indicadores[[#This Row],[Ventas]]=0,0,Indicadores[[#This Row],[EBITDA]]/Indicadores[[#This Row],[Ventas]])</f>
        <v>0.13593254977909994</v>
      </c>
      <c r="P860" s="837">
        <f>IF(Indicadores[[#This Row],[Ventas]]=0,0,Indicadores[[#This Row],[UAI]]/Indicadores[[#This Row],[Ventas]])</f>
        <v>0.10529550762591927</v>
      </c>
      <c r="Q860" s="837">
        <f>IFERROR(Indicadores[[#This Row],[Ventas]]/Indicadores[[#This Row],[Activos totales]],0)</f>
        <v>0.11415066236932243</v>
      </c>
    </row>
    <row r="861" spans="1:17" hidden="1" x14ac:dyDescent="0.3">
      <c r="A861" s="13" t="str">
        <f>MID(Indicadores[[#This Row],[CIIU]],2,4)</f>
        <v>0142</v>
      </c>
      <c r="B861" s="13" t="str">
        <f>Indicadores[[#This Row],[CIIU]]&amp;Indicadores[[#This Row],[Año]]</f>
        <v>A01422018</v>
      </c>
      <c r="C861" s="845" t="s">
        <v>2108</v>
      </c>
      <c r="D861" s="845" t="s">
        <v>2109</v>
      </c>
      <c r="E861" s="843">
        <v>2018</v>
      </c>
      <c r="F861" s="844" t="s">
        <v>3539</v>
      </c>
      <c r="G861" s="842" t="s">
        <v>3540</v>
      </c>
      <c r="H861" s="843" t="s">
        <v>3541</v>
      </c>
      <c r="I861" s="842" t="s">
        <v>3542</v>
      </c>
      <c r="J861" s="840">
        <v>128989</v>
      </c>
      <c r="K861" s="840">
        <v>279779</v>
      </c>
      <c r="L861" s="841">
        <v>105386795</v>
      </c>
      <c r="M861" s="840">
        <v>2504438</v>
      </c>
      <c r="N861" s="839">
        <f>Indicadores[[#This Row],[Ventas]]/Indicadores[[#This Row],[Activos totales]]</f>
        <v>2.3764248642346511E-2</v>
      </c>
      <c r="O861" s="837">
        <f>IF(Indicadores[[#This Row],[Ventas]]=0,0,Indicadores[[#This Row],[EBITDA]]/Indicadores[[#This Row],[Ventas]])</f>
        <v>0.11171328657367441</v>
      </c>
      <c r="P861" s="837">
        <f>IF(Indicadores[[#This Row],[Ventas]]=0,0,Indicadores[[#This Row],[UAI]]/Indicadores[[#This Row],[Ventas]])</f>
        <v>5.1504169797774987E-2</v>
      </c>
      <c r="Q861" s="837">
        <f>IFERROR(Indicadores[[#This Row],[Ventas]]/Indicadores[[#This Row],[Activos totales]],0)</f>
        <v>2.3764248642346511E-2</v>
      </c>
    </row>
    <row r="862" spans="1:17" hidden="1" x14ac:dyDescent="0.3">
      <c r="A862" s="13" t="str">
        <f>MID(Indicadores[[#This Row],[CIIU]],2,4)</f>
        <v>0143</v>
      </c>
      <c r="B862" s="13" t="str">
        <f>Indicadores[[#This Row],[CIIU]]&amp;Indicadores[[#This Row],[Año]]</f>
        <v>A01432018</v>
      </c>
      <c r="C862" s="845" t="s">
        <v>2108</v>
      </c>
      <c r="D862" s="845" t="s">
        <v>2109</v>
      </c>
      <c r="E862" s="843">
        <v>2018</v>
      </c>
      <c r="F862" s="844" t="s">
        <v>2168</v>
      </c>
      <c r="G862" s="842" t="s">
        <v>2169</v>
      </c>
      <c r="H862" s="843" t="s">
        <v>2170</v>
      </c>
      <c r="I862" s="842" t="s">
        <v>2171</v>
      </c>
      <c r="J862" s="840">
        <v>208823</v>
      </c>
      <c r="K862" s="840">
        <v>-85523</v>
      </c>
      <c r="L862" s="841">
        <v>6404123</v>
      </c>
      <c r="M862" s="840">
        <v>22697738</v>
      </c>
      <c r="N862" s="839">
        <f>Indicadores[[#This Row],[Ventas]]/Indicadores[[#This Row],[Activos totales]]</f>
        <v>3.5442382977341316</v>
      </c>
      <c r="O862" s="837">
        <f>IF(Indicadores[[#This Row],[Ventas]]=0,0,Indicadores[[#This Row],[EBITDA]]/Indicadores[[#This Row],[Ventas]])</f>
        <v>-3.7679085026005674E-3</v>
      </c>
      <c r="P862" s="837">
        <f>IF(Indicadores[[#This Row],[Ventas]]=0,0,Indicadores[[#This Row],[UAI]]/Indicadores[[#This Row],[Ventas]])</f>
        <v>9.2001678757592503E-3</v>
      </c>
      <c r="Q862" s="837">
        <f>IFERROR(Indicadores[[#This Row],[Ventas]]/Indicadores[[#This Row],[Activos totales]],0)</f>
        <v>3.5442382977341316</v>
      </c>
    </row>
    <row r="863" spans="1:17" hidden="1" x14ac:dyDescent="0.3">
      <c r="A863" s="13" t="str">
        <f>MID(Indicadores[[#This Row],[CIIU]],2,4)</f>
        <v>0144</v>
      </c>
      <c r="B863" s="13" t="str">
        <f>Indicadores[[#This Row],[CIIU]]&amp;Indicadores[[#This Row],[Año]]</f>
        <v>A01442018</v>
      </c>
      <c r="C863" s="845" t="s">
        <v>2108</v>
      </c>
      <c r="D863" s="845" t="s">
        <v>2109</v>
      </c>
      <c r="E863" s="843">
        <v>2018</v>
      </c>
      <c r="F863" s="844" t="s">
        <v>2172</v>
      </c>
      <c r="G863" s="842" t="s">
        <v>2173</v>
      </c>
      <c r="H863" s="843" t="s">
        <v>2174</v>
      </c>
      <c r="I863" s="842" t="s">
        <v>2173</v>
      </c>
      <c r="J863" s="840">
        <v>28277828</v>
      </c>
      <c r="K863" s="840">
        <v>94798165</v>
      </c>
      <c r="L863" s="841">
        <v>1946852848</v>
      </c>
      <c r="M863" s="840">
        <v>1453185562</v>
      </c>
      <c r="N863" s="839">
        <f>Indicadores[[#This Row],[Ventas]]/Indicadores[[#This Row],[Activos totales]]</f>
        <v>0.74642804333817836</v>
      </c>
      <c r="O863" s="837">
        <f>IF(Indicadores[[#This Row],[Ventas]]=0,0,Indicadores[[#This Row],[EBITDA]]/Indicadores[[#This Row],[Ventas]])</f>
        <v>6.5234728089047719E-2</v>
      </c>
      <c r="P863" s="837">
        <f>IF(Indicadores[[#This Row],[Ventas]]=0,0,Indicadores[[#This Row],[UAI]]/Indicadores[[#This Row],[Ventas]])</f>
        <v>1.9459199664137592E-2</v>
      </c>
      <c r="Q863" s="837">
        <f>IFERROR(Indicadores[[#This Row],[Ventas]]/Indicadores[[#This Row],[Activos totales]],0)</f>
        <v>0.74642804333817836</v>
      </c>
    </row>
    <row r="864" spans="1:17" hidden="1" x14ac:dyDescent="0.3">
      <c r="A864" s="13" t="str">
        <f>MID(Indicadores[[#This Row],[CIIU]],2,4)</f>
        <v>0145</v>
      </c>
      <c r="B864" s="13" t="str">
        <f>Indicadores[[#This Row],[CIIU]]&amp;Indicadores[[#This Row],[Año]]</f>
        <v>A01452018</v>
      </c>
      <c r="C864" s="845" t="s">
        <v>2108</v>
      </c>
      <c r="D864" s="845" t="s">
        <v>2109</v>
      </c>
      <c r="E864" s="843">
        <v>2018</v>
      </c>
      <c r="F864" s="844" t="s">
        <v>2175</v>
      </c>
      <c r="G864" s="842" t="s">
        <v>2176</v>
      </c>
      <c r="H864" s="843" t="s">
        <v>2177</v>
      </c>
      <c r="I864" s="842" t="s">
        <v>2176</v>
      </c>
      <c r="J864" s="840">
        <v>109301571</v>
      </c>
      <c r="K864" s="840">
        <v>448559481</v>
      </c>
      <c r="L864" s="841">
        <v>5556886465</v>
      </c>
      <c r="M864" s="840">
        <v>7815865803</v>
      </c>
      <c r="N864" s="839">
        <f>Indicadores[[#This Row],[Ventas]]/Indicadores[[#This Row],[Activos totales]]</f>
        <v>1.4065188936697126</v>
      </c>
      <c r="O864" s="837">
        <f>IF(Indicadores[[#This Row],[Ventas]]=0,0,Indicadores[[#This Row],[EBITDA]]/Indicadores[[#This Row],[Ventas]])</f>
        <v>5.7390888265741118E-2</v>
      </c>
      <c r="P864" s="837">
        <f>IF(Indicadores[[#This Row],[Ventas]]=0,0,Indicadores[[#This Row],[UAI]]/Indicadores[[#This Row],[Ventas]])</f>
        <v>1.3984576213942449E-2</v>
      </c>
      <c r="Q864" s="837">
        <f>IFERROR(Indicadores[[#This Row],[Ventas]]/Indicadores[[#This Row],[Activos totales]],0)</f>
        <v>1.4065188936697126</v>
      </c>
    </row>
    <row r="865" spans="1:17" hidden="1" x14ac:dyDescent="0.3">
      <c r="A865" s="13" t="str">
        <f>MID(Indicadores[[#This Row],[CIIU]],2,4)</f>
        <v>0149</v>
      </c>
      <c r="B865" s="13" t="str">
        <f>Indicadores[[#This Row],[CIIU]]&amp;Indicadores[[#This Row],[Año]]</f>
        <v>A01492018</v>
      </c>
      <c r="C865" s="845" t="s">
        <v>2108</v>
      </c>
      <c r="D865" s="845" t="s">
        <v>2109</v>
      </c>
      <c r="E865" s="843">
        <v>2018</v>
      </c>
      <c r="F865" s="844" t="s">
        <v>2178</v>
      </c>
      <c r="G865" s="842" t="s">
        <v>2179</v>
      </c>
      <c r="H865" s="843" t="s">
        <v>2180</v>
      </c>
      <c r="I865" s="842" t="s">
        <v>2179</v>
      </c>
      <c r="J865" s="840">
        <v>2919593</v>
      </c>
      <c r="K865" s="840">
        <v>6066478</v>
      </c>
      <c r="L865" s="841">
        <v>245599558</v>
      </c>
      <c r="M865" s="840">
        <v>202193694</v>
      </c>
      <c r="N865" s="839">
        <f>Indicadores[[#This Row],[Ventas]]/Indicadores[[#This Row],[Activos totales]]</f>
        <v>0.82326570799447452</v>
      </c>
      <c r="O865" s="837">
        <f>IF(Indicadores[[#This Row],[Ventas]]=0,0,Indicadores[[#This Row],[EBITDA]]/Indicadores[[#This Row],[Ventas]])</f>
        <v>3.0003299707259911E-2</v>
      </c>
      <c r="P865" s="837">
        <f>IF(Indicadores[[#This Row],[Ventas]]=0,0,Indicadores[[#This Row],[UAI]]/Indicadores[[#This Row],[Ventas]])</f>
        <v>1.4439584846795469E-2</v>
      </c>
      <c r="Q865" s="837">
        <f>IFERROR(Indicadores[[#This Row],[Ventas]]/Indicadores[[#This Row],[Activos totales]],0)</f>
        <v>0.82326570799447452</v>
      </c>
    </row>
    <row r="866" spans="1:17" hidden="1" x14ac:dyDescent="0.3">
      <c r="A866" s="13" t="str">
        <f>MID(Indicadores[[#This Row],[CIIU]],2,4)</f>
        <v>0150</v>
      </c>
      <c r="B866" s="13" t="str">
        <f>Indicadores[[#This Row],[CIIU]]&amp;Indicadores[[#This Row],[Año]]</f>
        <v>A01502018</v>
      </c>
      <c r="C866" s="845" t="s">
        <v>2108</v>
      </c>
      <c r="D866" s="845" t="s">
        <v>2109</v>
      </c>
      <c r="E866" s="843">
        <v>2018</v>
      </c>
      <c r="F866" s="844" t="s">
        <v>2181</v>
      </c>
      <c r="G866" s="842" t="s">
        <v>2182</v>
      </c>
      <c r="H866" s="843" t="s">
        <v>2183</v>
      </c>
      <c r="I866" s="842" t="s">
        <v>2184</v>
      </c>
      <c r="J866" s="840">
        <v>-2286476</v>
      </c>
      <c r="K866" s="840">
        <v>24317581</v>
      </c>
      <c r="L866" s="841">
        <v>2298889753</v>
      </c>
      <c r="M866" s="840">
        <v>248004414</v>
      </c>
      <c r="N866" s="839">
        <f>Indicadores[[#This Row],[Ventas]]/Indicadores[[#This Row],[Activos totales]]</f>
        <v>0.10788008153777699</v>
      </c>
      <c r="O866" s="837">
        <f>IF(Indicadores[[#This Row],[Ventas]]=0,0,Indicadores[[#This Row],[EBITDA]]/Indicadores[[#This Row],[Ventas]])</f>
        <v>9.8053016911223201E-2</v>
      </c>
      <c r="P866" s="837">
        <f>IF(Indicadores[[#This Row],[Ventas]]=0,0,Indicadores[[#This Row],[UAI]]/Indicadores[[#This Row],[Ventas]])</f>
        <v>-9.2194971981426101E-3</v>
      </c>
      <c r="Q866" s="837">
        <f>IFERROR(Indicadores[[#This Row],[Ventas]]/Indicadores[[#This Row],[Activos totales]],0)</f>
        <v>0.10788008153777699</v>
      </c>
    </row>
    <row r="867" spans="1:17" hidden="1" x14ac:dyDescent="0.3">
      <c r="A867" s="13" t="str">
        <f>MID(Indicadores[[#This Row],[CIIU]],2,4)</f>
        <v>0161</v>
      </c>
      <c r="B867" s="13" t="str">
        <f>Indicadores[[#This Row],[CIIU]]&amp;Indicadores[[#This Row],[Año]]</f>
        <v>A01612018</v>
      </c>
      <c r="C867" s="845" t="s">
        <v>2108</v>
      </c>
      <c r="D867" s="845" t="s">
        <v>2109</v>
      </c>
      <c r="E867" s="843">
        <v>2018</v>
      </c>
      <c r="F867" s="844" t="s">
        <v>2185</v>
      </c>
      <c r="G867" s="842" t="s">
        <v>2186</v>
      </c>
      <c r="H867" s="843" t="s">
        <v>2187</v>
      </c>
      <c r="I867" s="842" t="s">
        <v>2188</v>
      </c>
      <c r="J867" s="840">
        <v>-5924628</v>
      </c>
      <c r="K867" s="840">
        <v>4453999</v>
      </c>
      <c r="L867" s="841">
        <v>677147360</v>
      </c>
      <c r="M867" s="840">
        <v>354614534</v>
      </c>
      <c r="N867" s="839">
        <f>Indicadores[[#This Row],[Ventas]]/Indicadores[[#This Row],[Activos totales]]</f>
        <v>0.52368886736854436</v>
      </c>
      <c r="O867" s="837">
        <f>IF(Indicadores[[#This Row],[Ventas]]=0,0,Indicadores[[#This Row],[EBITDA]]/Indicadores[[#This Row],[Ventas]])</f>
        <v>1.2560114075865825E-2</v>
      </c>
      <c r="P867" s="837">
        <f>IF(Indicadores[[#This Row],[Ventas]]=0,0,Indicadores[[#This Row],[UAI]]/Indicadores[[#This Row],[Ventas]])</f>
        <v>-1.6707234001864121E-2</v>
      </c>
      <c r="Q867" s="837">
        <f>IFERROR(Indicadores[[#This Row],[Ventas]]/Indicadores[[#This Row],[Activos totales]],0)</f>
        <v>0.52368886736854436</v>
      </c>
    </row>
    <row r="868" spans="1:17" hidden="1" x14ac:dyDescent="0.3">
      <c r="A868" s="13" t="str">
        <f>MID(Indicadores[[#This Row],[CIIU]],2,4)</f>
        <v>0162</v>
      </c>
      <c r="B868" s="13" t="str">
        <f>Indicadores[[#This Row],[CIIU]]&amp;Indicadores[[#This Row],[Año]]</f>
        <v>A01622018</v>
      </c>
      <c r="C868" s="845" t="s">
        <v>2108</v>
      </c>
      <c r="D868" s="845" t="s">
        <v>2109</v>
      </c>
      <c r="E868" s="843">
        <v>2018</v>
      </c>
      <c r="F868" s="844" t="s">
        <v>2189</v>
      </c>
      <c r="G868" s="842" t="s">
        <v>2190</v>
      </c>
      <c r="H868" s="843" t="s">
        <v>2191</v>
      </c>
      <c r="I868" s="842" t="s">
        <v>2190</v>
      </c>
      <c r="J868" s="840">
        <v>16548523</v>
      </c>
      <c r="K868" s="840">
        <v>18940049</v>
      </c>
      <c r="L868" s="841">
        <v>213029925</v>
      </c>
      <c r="M868" s="840">
        <v>91328039</v>
      </c>
      <c r="N868" s="839">
        <f>Indicadores[[#This Row],[Ventas]]/Indicadores[[#This Row],[Activos totales]]</f>
        <v>0.42870990542760601</v>
      </c>
      <c r="O868" s="837">
        <f>IF(Indicadores[[#This Row],[Ventas]]=0,0,Indicadores[[#This Row],[EBITDA]]/Indicadores[[#This Row],[Ventas]])</f>
        <v>0.20738482077776793</v>
      </c>
      <c r="P868" s="837">
        <f>IF(Indicadores[[#This Row],[Ventas]]=0,0,Indicadores[[#This Row],[UAI]]/Indicadores[[#This Row],[Ventas]])</f>
        <v>0.18119871160268755</v>
      </c>
      <c r="Q868" s="837">
        <f>IFERROR(Indicadores[[#This Row],[Ventas]]/Indicadores[[#This Row],[Activos totales]],0)</f>
        <v>0.42870990542760601</v>
      </c>
    </row>
    <row r="869" spans="1:17" hidden="1" x14ac:dyDescent="0.3">
      <c r="A869" s="13" t="str">
        <f>MID(Indicadores[[#This Row],[CIIU]],2,4)</f>
        <v>0163</v>
      </c>
      <c r="B869" s="13" t="str">
        <f>Indicadores[[#This Row],[CIIU]]&amp;Indicadores[[#This Row],[Año]]</f>
        <v>A01632018</v>
      </c>
      <c r="C869" s="845" t="s">
        <v>2108</v>
      </c>
      <c r="D869" s="845" t="s">
        <v>2109</v>
      </c>
      <c r="E869" s="843">
        <v>2018</v>
      </c>
      <c r="F869" s="844" t="s">
        <v>2192</v>
      </c>
      <c r="G869" s="842" t="s">
        <v>2193</v>
      </c>
      <c r="H869" s="843" t="s">
        <v>2194</v>
      </c>
      <c r="I869" s="842" t="s">
        <v>2195</v>
      </c>
      <c r="J869" s="840">
        <v>-2534112</v>
      </c>
      <c r="K869" s="840">
        <v>-2291322</v>
      </c>
      <c r="L869" s="841">
        <v>41182664</v>
      </c>
      <c r="M869" s="840">
        <v>1612940</v>
      </c>
      <c r="N869" s="839">
        <f>Indicadores[[#This Row],[Ventas]]/Indicadores[[#This Row],[Activos totales]]</f>
        <v>3.9165509059831585E-2</v>
      </c>
      <c r="O869" s="837">
        <f>IF(Indicadores[[#This Row],[Ventas]]=0,0,Indicadores[[#This Row],[EBITDA]]/Indicadores[[#This Row],[Ventas]])</f>
        <v>-1.420587250610686</v>
      </c>
      <c r="P869" s="837">
        <f>IF(Indicadores[[#This Row],[Ventas]]=0,0,Indicadores[[#This Row],[UAI]]/Indicadores[[#This Row],[Ventas]])</f>
        <v>-1.5711136186094956</v>
      </c>
      <c r="Q869" s="837">
        <f>IFERROR(Indicadores[[#This Row],[Ventas]]/Indicadores[[#This Row],[Activos totales]],0)</f>
        <v>3.9165509059831585E-2</v>
      </c>
    </row>
    <row r="870" spans="1:17" hidden="1" x14ac:dyDescent="0.3">
      <c r="A870" s="13" t="str">
        <f>MID(Indicadores[[#This Row],[CIIU]],2,4)</f>
        <v>0164</v>
      </c>
      <c r="B870" s="13" t="str">
        <f>Indicadores[[#This Row],[CIIU]]&amp;Indicadores[[#This Row],[Año]]</f>
        <v>A01642018</v>
      </c>
      <c r="C870" s="845" t="s">
        <v>2108</v>
      </c>
      <c r="D870" s="845" t="s">
        <v>2109</v>
      </c>
      <c r="E870" s="843">
        <v>2018</v>
      </c>
      <c r="F870" s="844" t="s">
        <v>2196</v>
      </c>
      <c r="G870" s="842" t="s">
        <v>2197</v>
      </c>
      <c r="H870" s="843" t="s">
        <v>2198</v>
      </c>
      <c r="I870" s="842" t="s">
        <v>2199</v>
      </c>
      <c r="J870" s="840">
        <v>716594</v>
      </c>
      <c r="K870" s="840">
        <v>843357</v>
      </c>
      <c r="L870" s="841">
        <v>12059895</v>
      </c>
      <c r="M870" s="840">
        <v>13531227</v>
      </c>
      <c r="N870" s="839">
        <f>Indicadores[[#This Row],[Ventas]]/Indicadores[[#This Row],[Activos totales]]</f>
        <v>1.1220020572318417</v>
      </c>
      <c r="O870" s="837">
        <f>IF(Indicadores[[#This Row],[Ventas]]=0,0,Indicadores[[#This Row],[EBITDA]]/Indicadores[[#This Row],[Ventas]])</f>
        <v>6.2326720259736977E-2</v>
      </c>
      <c r="P870" s="837">
        <f>IF(Indicadores[[#This Row],[Ventas]]=0,0,Indicadores[[#This Row],[UAI]]/Indicadores[[#This Row],[Ventas]])</f>
        <v>5.2958538054235581E-2</v>
      </c>
      <c r="Q870" s="837">
        <f>IFERROR(Indicadores[[#This Row],[Ventas]]/Indicadores[[#This Row],[Activos totales]],0)</f>
        <v>1.1220020572318417</v>
      </c>
    </row>
    <row r="871" spans="1:17" hidden="1" x14ac:dyDescent="0.3">
      <c r="A871" s="13" t="str">
        <f>MID(Indicadores[[#This Row],[CIIU]],2,4)</f>
        <v>0210</v>
      </c>
      <c r="B871" s="13" t="str">
        <f>Indicadores[[#This Row],[CIIU]]&amp;Indicadores[[#This Row],[Año]]</f>
        <v>A02102018</v>
      </c>
      <c r="C871" s="845" t="s">
        <v>2108</v>
      </c>
      <c r="D871" s="845" t="s">
        <v>2200</v>
      </c>
      <c r="E871" s="843">
        <v>2018</v>
      </c>
      <c r="F871" s="844" t="s">
        <v>2201</v>
      </c>
      <c r="G871" s="842" t="s">
        <v>2202</v>
      </c>
      <c r="H871" s="843" t="s">
        <v>2203</v>
      </c>
      <c r="I871" s="842" t="s">
        <v>2202</v>
      </c>
      <c r="J871" s="840">
        <v>106964295</v>
      </c>
      <c r="K871" s="840">
        <v>147335631</v>
      </c>
      <c r="L871" s="841">
        <v>2370919017</v>
      </c>
      <c r="M871" s="840">
        <v>248062069</v>
      </c>
      <c r="N871" s="839">
        <f>Indicadores[[#This Row],[Ventas]]/Indicadores[[#This Row],[Activos totales]]</f>
        <v>0.1046269683702149</v>
      </c>
      <c r="O871" s="837">
        <f>IF(Indicadores[[#This Row],[Ventas]]=0,0,Indicadores[[#This Row],[EBITDA]]/Indicadores[[#This Row],[Ventas]])</f>
        <v>0.59394663438044615</v>
      </c>
      <c r="P871" s="837">
        <f>IF(Indicadores[[#This Row],[Ventas]]=0,0,Indicadores[[#This Row],[UAI]]/Indicadores[[#This Row],[Ventas]])</f>
        <v>0.43119972122783512</v>
      </c>
      <c r="Q871" s="837">
        <f>IFERROR(Indicadores[[#This Row],[Ventas]]/Indicadores[[#This Row],[Activos totales]],0)</f>
        <v>0.1046269683702149</v>
      </c>
    </row>
    <row r="872" spans="1:17" hidden="1" x14ac:dyDescent="0.3">
      <c r="A872" s="13" t="str">
        <f>MID(Indicadores[[#This Row],[CIIU]],2,4)</f>
        <v>0220</v>
      </c>
      <c r="B872" s="13" t="str">
        <f>Indicadores[[#This Row],[CIIU]]&amp;Indicadores[[#This Row],[Año]]</f>
        <v>A02202018</v>
      </c>
      <c r="C872" s="845" t="s">
        <v>2108</v>
      </c>
      <c r="D872" s="845" t="s">
        <v>2200</v>
      </c>
      <c r="E872" s="843">
        <v>2018</v>
      </c>
      <c r="F872" s="844" t="s">
        <v>2204</v>
      </c>
      <c r="G872" s="842" t="s">
        <v>2205</v>
      </c>
      <c r="H872" s="843" t="s">
        <v>2206</v>
      </c>
      <c r="I872" s="842" t="s">
        <v>2207</v>
      </c>
      <c r="J872" s="840">
        <v>1340736</v>
      </c>
      <c r="K872" s="840">
        <v>2697462</v>
      </c>
      <c r="L872" s="841">
        <v>318560260</v>
      </c>
      <c r="M872" s="840">
        <v>23180131</v>
      </c>
      <c r="N872" s="839">
        <f>Indicadores[[#This Row],[Ventas]]/Indicadores[[#This Row],[Activos totales]]</f>
        <v>7.2765294076543002E-2</v>
      </c>
      <c r="O872" s="837">
        <f>IF(Indicadores[[#This Row],[Ventas]]=0,0,Indicadores[[#This Row],[EBITDA]]/Indicadores[[#This Row],[Ventas]])</f>
        <v>0.11636957530567882</v>
      </c>
      <c r="P872" s="837">
        <f>IF(Indicadores[[#This Row],[Ventas]]=0,0,Indicadores[[#This Row],[UAI]]/Indicadores[[#This Row],[Ventas]])</f>
        <v>5.7839880197398365E-2</v>
      </c>
      <c r="Q872" s="837">
        <f>IFERROR(Indicadores[[#This Row],[Ventas]]/Indicadores[[#This Row],[Activos totales]],0)</f>
        <v>7.2765294076543002E-2</v>
      </c>
    </row>
    <row r="873" spans="1:17" hidden="1" x14ac:dyDescent="0.3">
      <c r="A873" s="13" t="str">
        <f>MID(Indicadores[[#This Row],[CIIU]],2,4)</f>
        <v>0230</v>
      </c>
      <c r="B873" s="13" t="str">
        <f>Indicadores[[#This Row],[CIIU]]&amp;Indicadores[[#This Row],[Año]]</f>
        <v>A02302018</v>
      </c>
      <c r="C873" s="845" t="s">
        <v>2108</v>
      </c>
      <c r="D873" s="845" t="s">
        <v>2200</v>
      </c>
      <c r="E873" s="843">
        <v>2018</v>
      </c>
      <c r="F873" s="844" t="s">
        <v>3543</v>
      </c>
      <c r="G873" s="842" t="s">
        <v>3544</v>
      </c>
      <c r="H873" s="843" t="s">
        <v>3545</v>
      </c>
      <c r="I873" s="842" t="s">
        <v>3544</v>
      </c>
      <c r="J873" s="840">
        <v>-366842</v>
      </c>
      <c r="K873" s="840">
        <v>-366842</v>
      </c>
      <c r="L873" s="841">
        <v>18529038</v>
      </c>
      <c r="M873" s="840">
        <v>520204</v>
      </c>
      <c r="N873" s="839">
        <f>Indicadores[[#This Row],[Ventas]]/Indicadores[[#This Row],[Activos totales]]</f>
        <v>2.8075067901528403E-2</v>
      </c>
      <c r="O873" s="837">
        <f>IF(Indicadores[[#This Row],[Ventas]]=0,0,Indicadores[[#This Row],[EBITDA]]/Indicadores[[#This Row],[Ventas]])</f>
        <v>-0.70518873365064472</v>
      </c>
      <c r="P873" s="837">
        <f>IF(Indicadores[[#This Row],[Ventas]]=0,0,Indicadores[[#This Row],[UAI]]/Indicadores[[#This Row],[Ventas]])</f>
        <v>-0.70518873365064472</v>
      </c>
      <c r="Q873" s="837">
        <f>IFERROR(Indicadores[[#This Row],[Ventas]]/Indicadores[[#This Row],[Activos totales]],0)</f>
        <v>2.8075067901528403E-2</v>
      </c>
    </row>
    <row r="874" spans="1:17" hidden="1" x14ac:dyDescent="0.3">
      <c r="A874" s="13" t="str">
        <f>MID(Indicadores[[#This Row],[CIIU]],2,4)</f>
        <v>0240</v>
      </c>
      <c r="B874" s="13" t="str">
        <f>Indicadores[[#This Row],[CIIU]]&amp;Indicadores[[#This Row],[Año]]</f>
        <v>A02402018</v>
      </c>
      <c r="C874" s="845" t="s">
        <v>2108</v>
      </c>
      <c r="D874" s="845" t="s">
        <v>2200</v>
      </c>
      <c r="E874" s="843">
        <v>2018</v>
      </c>
      <c r="F874" s="844" t="s">
        <v>2208</v>
      </c>
      <c r="G874" s="842" t="s">
        <v>2209</v>
      </c>
      <c r="H874" s="843" t="s">
        <v>2210</v>
      </c>
      <c r="I874" s="842" t="s">
        <v>2211</v>
      </c>
      <c r="J874" s="840">
        <v>4116827</v>
      </c>
      <c r="K874" s="840">
        <v>4777718</v>
      </c>
      <c r="L874" s="841">
        <v>176793649</v>
      </c>
      <c r="M874" s="840">
        <v>28916529</v>
      </c>
      <c r="N874" s="839">
        <f>Indicadores[[#This Row],[Ventas]]/Indicadores[[#This Row],[Activos totales]]</f>
        <v>0.1635609037064448</v>
      </c>
      <c r="O874" s="837">
        <f>IF(Indicadores[[#This Row],[Ventas]]=0,0,Indicadores[[#This Row],[EBITDA]]/Indicadores[[#This Row],[Ventas]])</f>
        <v>0.16522446383519959</v>
      </c>
      <c r="P874" s="837">
        <f>IF(Indicadores[[#This Row],[Ventas]]=0,0,Indicadores[[#This Row],[UAI]]/Indicadores[[#This Row],[Ventas]])</f>
        <v>0.14236933485343278</v>
      </c>
      <c r="Q874" s="837">
        <f>IFERROR(Indicadores[[#This Row],[Ventas]]/Indicadores[[#This Row],[Activos totales]],0)</f>
        <v>0.1635609037064448</v>
      </c>
    </row>
    <row r="875" spans="1:17" hidden="1" x14ac:dyDescent="0.3">
      <c r="A875" s="13" t="str">
        <f>MID(Indicadores[[#This Row],[CIIU]],2,4)</f>
        <v>0311</v>
      </c>
      <c r="B875" s="13" t="str">
        <f>Indicadores[[#This Row],[CIIU]]&amp;Indicadores[[#This Row],[Año]]</f>
        <v>A03112018</v>
      </c>
      <c r="C875" s="845" t="s">
        <v>2108</v>
      </c>
      <c r="D875" s="845" t="s">
        <v>2212</v>
      </c>
      <c r="E875" s="843">
        <v>2018</v>
      </c>
      <c r="F875" s="844" t="s">
        <v>2213</v>
      </c>
      <c r="G875" s="842" t="s">
        <v>2214</v>
      </c>
      <c r="H875" s="843" t="s">
        <v>2215</v>
      </c>
      <c r="I875" s="842" t="s">
        <v>2216</v>
      </c>
      <c r="J875" s="840">
        <v>3154772</v>
      </c>
      <c r="K875" s="840">
        <v>3797525</v>
      </c>
      <c r="L875" s="841">
        <v>44330199</v>
      </c>
      <c r="M875" s="840">
        <v>79456214</v>
      </c>
      <c r="N875" s="839">
        <f>Indicadores[[#This Row],[Ventas]]/Indicadores[[#This Row],[Activos totales]]</f>
        <v>1.7923721479346393</v>
      </c>
      <c r="O875" s="837">
        <f>IF(Indicadores[[#This Row],[Ventas]]=0,0,Indicadores[[#This Row],[EBITDA]]/Indicadores[[#This Row],[Ventas]])</f>
        <v>4.7793933398336853E-2</v>
      </c>
      <c r="P875" s="837">
        <f>IF(Indicadores[[#This Row],[Ventas]]=0,0,Indicadores[[#This Row],[UAI]]/Indicadores[[#This Row],[Ventas]])</f>
        <v>3.9704534625825488E-2</v>
      </c>
      <c r="Q875" s="837">
        <f>IFERROR(Indicadores[[#This Row],[Ventas]]/Indicadores[[#This Row],[Activos totales]],0)</f>
        <v>1.7923721479346393</v>
      </c>
    </row>
    <row r="876" spans="1:17" hidden="1" x14ac:dyDescent="0.3">
      <c r="A876" s="13" t="str">
        <f>MID(Indicadores[[#This Row],[CIIU]],2,4)</f>
        <v>0312</v>
      </c>
      <c r="B876" s="13" t="str">
        <f>Indicadores[[#This Row],[CIIU]]&amp;Indicadores[[#This Row],[Año]]</f>
        <v>A03122018</v>
      </c>
      <c r="C876" s="845" t="s">
        <v>2108</v>
      </c>
      <c r="D876" s="845" t="s">
        <v>2212</v>
      </c>
      <c r="E876" s="843">
        <v>2018</v>
      </c>
      <c r="F876" s="844" t="s">
        <v>2217</v>
      </c>
      <c r="G876" s="842" t="s">
        <v>2218</v>
      </c>
      <c r="H876" s="843" t="s">
        <v>2219</v>
      </c>
      <c r="I876" s="842" t="s">
        <v>2220</v>
      </c>
      <c r="J876" s="840">
        <v>2942075</v>
      </c>
      <c r="K876" s="840">
        <v>3828638</v>
      </c>
      <c r="L876" s="841">
        <v>60029345</v>
      </c>
      <c r="M876" s="840">
        <v>77713346</v>
      </c>
      <c r="N876" s="839">
        <f>Indicadores[[#This Row],[Ventas]]/Indicadores[[#This Row],[Activos totales]]</f>
        <v>1.2945892712972298</v>
      </c>
      <c r="O876" s="837">
        <f>IF(Indicadores[[#This Row],[Ventas]]=0,0,Indicadores[[#This Row],[EBITDA]]/Indicadores[[#This Row],[Ventas]])</f>
        <v>4.9266158222038205E-2</v>
      </c>
      <c r="P876" s="837">
        <f>IF(Indicadores[[#This Row],[Ventas]]=0,0,Indicadores[[#This Row],[UAI]]/Indicadores[[#This Row],[Ventas]])</f>
        <v>3.7858040496673503E-2</v>
      </c>
      <c r="Q876" s="837">
        <f>IFERROR(Indicadores[[#This Row],[Ventas]]/Indicadores[[#This Row],[Activos totales]],0)</f>
        <v>1.2945892712972298</v>
      </c>
    </row>
    <row r="877" spans="1:17" hidden="1" x14ac:dyDescent="0.3">
      <c r="A877" s="13" t="str">
        <f>MID(Indicadores[[#This Row],[CIIU]],2,4)</f>
        <v>0321</v>
      </c>
      <c r="B877" s="13" t="str">
        <f>Indicadores[[#This Row],[CIIU]]&amp;Indicadores[[#This Row],[Año]]</f>
        <v>A03212018</v>
      </c>
      <c r="C877" s="845" t="s">
        <v>2108</v>
      </c>
      <c r="D877" s="845" t="s">
        <v>2212</v>
      </c>
      <c r="E877" s="843">
        <v>2018</v>
      </c>
      <c r="F877" s="844" t="s">
        <v>2221</v>
      </c>
      <c r="G877" s="838" t="s">
        <v>2222</v>
      </c>
      <c r="H877" s="843" t="s">
        <v>2223</v>
      </c>
      <c r="I877" s="842" t="s">
        <v>2224</v>
      </c>
      <c r="J877" s="840">
        <v>6501873</v>
      </c>
      <c r="K877" s="840">
        <v>12519873</v>
      </c>
      <c r="L877" s="841">
        <v>166985248</v>
      </c>
      <c r="M877" s="840">
        <v>83557351</v>
      </c>
      <c r="N877" s="839">
        <f>Indicadores[[#This Row],[Ventas]]/Indicadores[[#This Row],[Activos totales]]</f>
        <v>0.50038762106698187</v>
      </c>
      <c r="O877" s="837">
        <f>IF(Indicadores[[#This Row],[Ventas]]=0,0,Indicadores[[#This Row],[EBITDA]]/Indicadores[[#This Row],[Ventas]])</f>
        <v>0.14983568591110555</v>
      </c>
      <c r="P877" s="837">
        <f>IF(Indicadores[[#This Row],[Ventas]]=0,0,Indicadores[[#This Row],[UAI]]/Indicadores[[#This Row],[Ventas]])</f>
        <v>7.7813297360276534E-2</v>
      </c>
      <c r="Q877" s="837">
        <f>IFERROR(Indicadores[[#This Row],[Ventas]]/Indicadores[[#This Row],[Activos totales]],0)</f>
        <v>0.50038762106698187</v>
      </c>
    </row>
    <row r="878" spans="1:17" hidden="1" x14ac:dyDescent="0.3">
      <c r="A878" s="13" t="str">
        <f>MID(Indicadores[[#This Row],[CIIU]],2,4)</f>
        <v>0322</v>
      </c>
      <c r="B878" s="13" t="str">
        <f>Indicadores[[#This Row],[CIIU]]&amp;Indicadores[[#This Row],[Año]]</f>
        <v>A03222018</v>
      </c>
      <c r="C878" s="845" t="s">
        <v>2108</v>
      </c>
      <c r="D878" s="845" t="s">
        <v>2212</v>
      </c>
      <c r="E878" s="843">
        <v>2018</v>
      </c>
      <c r="F878" s="844" t="s">
        <v>2225</v>
      </c>
      <c r="G878" s="842" t="s">
        <v>2226</v>
      </c>
      <c r="H878" s="843" t="s">
        <v>2227</v>
      </c>
      <c r="I878" s="842" t="s">
        <v>2226</v>
      </c>
      <c r="J878" s="840">
        <v>5597097</v>
      </c>
      <c r="K878" s="840">
        <v>8080267</v>
      </c>
      <c r="L878" s="841">
        <v>180020786</v>
      </c>
      <c r="M878" s="840">
        <v>204551225</v>
      </c>
      <c r="N878" s="839">
        <f>Indicadores[[#This Row],[Ventas]]/Indicadores[[#This Row],[Activos totales]]</f>
        <v>1.1362644811471938</v>
      </c>
      <c r="O878" s="837">
        <f>IF(Indicadores[[#This Row],[Ventas]]=0,0,Indicadores[[#This Row],[EBITDA]]/Indicadores[[#This Row],[Ventas]])</f>
        <v>3.9502413148589065E-2</v>
      </c>
      <c r="P878" s="837">
        <f>IF(Indicadores[[#This Row],[Ventas]]=0,0,Indicadores[[#This Row],[UAI]]/Indicadores[[#This Row],[Ventas]])</f>
        <v>2.7362813397964252E-2</v>
      </c>
      <c r="Q878" s="837">
        <f>IFERROR(Indicadores[[#This Row],[Ventas]]/Indicadores[[#This Row],[Activos totales]],0)</f>
        <v>1.1362644811471938</v>
      </c>
    </row>
    <row r="879" spans="1:17" hidden="1" x14ac:dyDescent="0.3">
      <c r="A879" s="13" t="str">
        <f>MID(Indicadores[[#This Row],[CIIU]],2,4)</f>
        <v>0510</v>
      </c>
      <c r="B879" s="13" t="str">
        <f>Indicadores[[#This Row],[CIIU]]&amp;Indicadores[[#This Row],[Año]]</f>
        <v>B05102018</v>
      </c>
      <c r="C879" s="845" t="s">
        <v>2228</v>
      </c>
      <c r="D879" s="845" t="s">
        <v>2229</v>
      </c>
      <c r="E879" s="843">
        <v>2018</v>
      </c>
      <c r="F879" s="844" t="s">
        <v>2230</v>
      </c>
      <c r="G879" s="842" t="s">
        <v>2231</v>
      </c>
      <c r="H879" s="843" t="s">
        <v>2232</v>
      </c>
      <c r="I879" s="842" t="s">
        <v>2231</v>
      </c>
      <c r="J879" s="840">
        <v>2888692171</v>
      </c>
      <c r="K879" s="840">
        <v>4755806496</v>
      </c>
      <c r="L879" s="841">
        <v>29229469128</v>
      </c>
      <c r="M879" s="840">
        <v>19379141590</v>
      </c>
      <c r="N879" s="839">
        <f>Indicadores[[#This Row],[Ventas]]/Indicadores[[#This Row],[Activos totales]]</f>
        <v>0.66300012173111955</v>
      </c>
      <c r="O879" s="837">
        <f>IF(Indicadores[[#This Row],[Ventas]]=0,0,Indicadores[[#This Row],[EBITDA]]/Indicadores[[#This Row],[Ventas]])</f>
        <v>0.24540852203970093</v>
      </c>
      <c r="P879" s="837">
        <f>IF(Indicadores[[#This Row],[Ventas]]=0,0,Indicadores[[#This Row],[UAI]]/Indicadores[[#This Row],[Ventas]])</f>
        <v>0.14906192607058608</v>
      </c>
      <c r="Q879" s="837">
        <f>IFERROR(Indicadores[[#This Row],[Ventas]]/Indicadores[[#This Row],[Activos totales]],0)</f>
        <v>0.66300012173111955</v>
      </c>
    </row>
    <row r="880" spans="1:17" hidden="1" x14ac:dyDescent="0.3">
      <c r="A880" s="13" t="str">
        <f>MID(Indicadores[[#This Row],[CIIU]],2,4)</f>
        <v>0520</v>
      </c>
      <c r="B880" s="13" t="str">
        <f>Indicadores[[#This Row],[CIIU]]&amp;Indicadores[[#This Row],[Año]]</f>
        <v>B05202018</v>
      </c>
      <c r="C880" s="845" t="s">
        <v>2228</v>
      </c>
      <c r="D880" s="845" t="s">
        <v>2229</v>
      </c>
      <c r="E880" s="843">
        <v>2018</v>
      </c>
      <c r="F880" s="844" t="s">
        <v>2233</v>
      </c>
      <c r="G880" s="838" t="s">
        <v>2234</v>
      </c>
      <c r="H880" s="843" t="s">
        <v>2235</v>
      </c>
      <c r="I880" s="842" t="s">
        <v>2234</v>
      </c>
      <c r="J880" s="840">
        <v>459519925</v>
      </c>
      <c r="K880" s="840">
        <v>584014628</v>
      </c>
      <c r="L880" s="841">
        <v>945028248</v>
      </c>
      <c r="M880" s="840">
        <v>959531605</v>
      </c>
      <c r="N880" s="839">
        <f>Indicadores[[#This Row],[Ventas]]/Indicadores[[#This Row],[Activos totales]]</f>
        <v>1.0153470089711012</v>
      </c>
      <c r="O880" s="837">
        <f>IF(Indicadores[[#This Row],[Ventas]]=0,0,Indicadores[[#This Row],[EBITDA]]/Indicadores[[#This Row],[Ventas]])</f>
        <v>0.60864553596439375</v>
      </c>
      <c r="P880" s="837">
        <f>IF(Indicadores[[#This Row],[Ventas]]=0,0,Indicadores[[#This Row],[UAI]]/Indicadores[[#This Row],[Ventas]])</f>
        <v>0.47890024946077725</v>
      </c>
      <c r="Q880" s="837">
        <f>IFERROR(Indicadores[[#This Row],[Ventas]]/Indicadores[[#This Row],[Activos totales]],0)</f>
        <v>1.0153470089711012</v>
      </c>
    </row>
    <row r="881" spans="1:17" hidden="1" x14ac:dyDescent="0.3">
      <c r="A881" s="13" t="str">
        <f>MID(Indicadores[[#This Row],[CIIU]],2,4)</f>
        <v>0610</v>
      </c>
      <c r="B881" s="13" t="str">
        <f>Indicadores[[#This Row],[CIIU]]&amp;Indicadores[[#This Row],[Año]]</f>
        <v>B06102018</v>
      </c>
      <c r="C881" s="845" t="s">
        <v>2228</v>
      </c>
      <c r="D881" s="845" t="s">
        <v>2236</v>
      </c>
      <c r="E881" s="843">
        <v>2018</v>
      </c>
      <c r="F881" s="844" t="s">
        <v>2237</v>
      </c>
      <c r="G881" s="842" t="s">
        <v>2238</v>
      </c>
      <c r="H881" s="843" t="s">
        <v>2239</v>
      </c>
      <c r="I881" s="842" t="s">
        <v>2238</v>
      </c>
      <c r="J881" s="840">
        <v>6390199810</v>
      </c>
      <c r="K881" s="840">
        <v>11054141544</v>
      </c>
      <c r="L881" s="841">
        <v>38740071891</v>
      </c>
      <c r="M881" s="840">
        <v>19345129948</v>
      </c>
      <c r="N881" s="839">
        <f>Indicadores[[#This Row],[Ventas]]/Indicadores[[#This Row],[Activos totales]]</f>
        <v>0.4993570998636741</v>
      </c>
      <c r="O881" s="837">
        <f>IF(Indicadores[[#This Row],[Ventas]]=0,0,Indicadores[[#This Row],[EBITDA]]/Indicadores[[#This Row],[Ventas]])</f>
        <v>0.57141728040668105</v>
      </c>
      <c r="P881" s="837">
        <f>IF(Indicadores[[#This Row],[Ventas]]=0,0,Indicadores[[#This Row],[UAI]]/Indicadores[[#This Row],[Ventas]])</f>
        <v>0.33032602144193152</v>
      </c>
      <c r="Q881" s="837">
        <f>IFERROR(Indicadores[[#This Row],[Ventas]]/Indicadores[[#This Row],[Activos totales]],0)</f>
        <v>0.4993570998636741</v>
      </c>
    </row>
    <row r="882" spans="1:17" hidden="1" x14ac:dyDescent="0.3">
      <c r="A882" s="13" t="str">
        <f>MID(Indicadores[[#This Row],[CIIU]],2,4)</f>
        <v>0620</v>
      </c>
      <c r="B882" s="13" t="str">
        <f>Indicadores[[#This Row],[CIIU]]&amp;Indicadores[[#This Row],[Año]]</f>
        <v>B06202018</v>
      </c>
      <c r="C882" s="845" t="s">
        <v>2228</v>
      </c>
      <c r="D882" s="845" t="s">
        <v>2236</v>
      </c>
      <c r="E882" s="843">
        <v>2018</v>
      </c>
      <c r="F882" s="844" t="s">
        <v>2240</v>
      </c>
      <c r="G882" s="838" t="s">
        <v>2241</v>
      </c>
      <c r="H882" s="843" t="s">
        <v>2242</v>
      </c>
      <c r="I882" s="842" t="s">
        <v>2241</v>
      </c>
      <c r="J882" s="840">
        <v>189686027</v>
      </c>
      <c r="K882" s="840">
        <v>299847034</v>
      </c>
      <c r="L882" s="841">
        <v>2789528466</v>
      </c>
      <c r="M882" s="840">
        <v>651250181</v>
      </c>
      <c r="N882" s="839">
        <f>Indicadores[[#This Row],[Ventas]]/Indicadores[[#This Row],[Activos totales]]</f>
        <v>0.23346246110685862</v>
      </c>
      <c r="O882" s="837">
        <f>IF(Indicadores[[#This Row],[Ventas]]=0,0,Indicadores[[#This Row],[EBITDA]]/Indicadores[[#This Row],[Ventas]])</f>
        <v>0.46041758259411525</v>
      </c>
      <c r="P882" s="837">
        <f>IF(Indicadores[[#This Row],[Ventas]]=0,0,Indicadores[[#This Row],[UAI]]/Indicadores[[#This Row],[Ventas]])</f>
        <v>0.29126445187122335</v>
      </c>
      <c r="Q882" s="837">
        <f>IFERROR(Indicadores[[#This Row],[Ventas]]/Indicadores[[#This Row],[Activos totales]],0)</f>
        <v>0.23346246110685862</v>
      </c>
    </row>
    <row r="883" spans="1:17" hidden="1" x14ac:dyDescent="0.3">
      <c r="A883" s="13" t="str">
        <f>MID(Indicadores[[#This Row],[CIIU]],2,4)</f>
        <v>0710</v>
      </c>
      <c r="B883" s="13" t="str">
        <f>Indicadores[[#This Row],[CIIU]]&amp;Indicadores[[#This Row],[Año]]</f>
        <v>B07102018</v>
      </c>
      <c r="C883" s="845" t="s">
        <v>2228</v>
      </c>
      <c r="D883" s="845" t="s">
        <v>2243</v>
      </c>
      <c r="E883" s="843">
        <v>2018</v>
      </c>
      <c r="F883" s="844" t="s">
        <v>2244</v>
      </c>
      <c r="G883" s="842" t="s">
        <v>2245</v>
      </c>
      <c r="H883" s="843" t="s">
        <v>2246</v>
      </c>
      <c r="I883" s="842" t="s">
        <v>2245</v>
      </c>
      <c r="J883" s="840">
        <v>-22572830</v>
      </c>
      <c r="K883" s="840">
        <v>-13561595</v>
      </c>
      <c r="L883" s="841">
        <v>34683492</v>
      </c>
      <c r="M883" s="840">
        <v>4644316</v>
      </c>
      <c r="N883" s="839">
        <f>Indicadores[[#This Row],[Ventas]]/Indicadores[[#This Row],[Activos totales]]</f>
        <v>0.13390566324751846</v>
      </c>
      <c r="O883" s="837">
        <f>IF(Indicadores[[#This Row],[Ventas]]=0,0,Indicadores[[#This Row],[EBITDA]]/Indicadores[[#This Row],[Ventas]])</f>
        <v>-2.9200414011449696</v>
      </c>
      <c r="P883" s="837">
        <f>IF(Indicadores[[#This Row],[Ventas]]=0,0,Indicadores[[#This Row],[UAI]]/Indicadores[[#This Row],[Ventas]])</f>
        <v>-4.8603131225351595</v>
      </c>
      <c r="Q883" s="837">
        <f>IFERROR(Indicadores[[#This Row],[Ventas]]/Indicadores[[#This Row],[Activos totales]],0)</f>
        <v>0.13390566324751846</v>
      </c>
    </row>
    <row r="884" spans="1:17" hidden="1" x14ac:dyDescent="0.3">
      <c r="A884" s="13" t="str">
        <f>MID(Indicadores[[#This Row],[CIIU]],2,4)</f>
        <v>0722</v>
      </c>
      <c r="B884" s="13" t="str">
        <f>Indicadores[[#This Row],[CIIU]]&amp;Indicadores[[#This Row],[Año]]</f>
        <v>B07222018</v>
      </c>
      <c r="C884" s="845" t="s">
        <v>2228</v>
      </c>
      <c r="D884" s="845" t="s">
        <v>2243</v>
      </c>
      <c r="E884" s="843">
        <v>2018</v>
      </c>
      <c r="F884" s="844" t="s">
        <v>2247</v>
      </c>
      <c r="G884" s="842" t="s">
        <v>2248</v>
      </c>
      <c r="H884" s="843" t="s">
        <v>2249</v>
      </c>
      <c r="I884" s="842" t="s">
        <v>2248</v>
      </c>
      <c r="J884" s="840">
        <v>-331762971</v>
      </c>
      <c r="K884" s="840">
        <v>-231557229</v>
      </c>
      <c r="L884" s="841">
        <v>5096316491</v>
      </c>
      <c r="M884" s="840">
        <v>845431940</v>
      </c>
      <c r="N884" s="839">
        <f>Indicadores[[#This Row],[Ventas]]/Indicadores[[#This Row],[Activos totales]]</f>
        <v>0.16589078435238805</v>
      </c>
      <c r="O884" s="837">
        <f>IF(Indicadores[[#This Row],[Ventas]]=0,0,Indicadores[[#This Row],[EBITDA]]/Indicadores[[#This Row],[Ventas]])</f>
        <v>-0.2738922177461145</v>
      </c>
      <c r="P884" s="837">
        <f>IF(Indicadores[[#This Row],[Ventas]]=0,0,Indicadores[[#This Row],[UAI]]/Indicadores[[#This Row],[Ventas]])</f>
        <v>-0.39241830749853146</v>
      </c>
      <c r="Q884" s="837">
        <f>IFERROR(Indicadores[[#This Row],[Ventas]]/Indicadores[[#This Row],[Activos totales]],0)</f>
        <v>0.16589078435238805</v>
      </c>
    </row>
    <row r="885" spans="1:17" hidden="1" x14ac:dyDescent="0.3">
      <c r="A885" s="13" t="str">
        <f>MID(Indicadores[[#This Row],[CIIU]],2,4)</f>
        <v>0723</v>
      </c>
      <c r="B885" s="13" t="str">
        <f>Indicadores[[#This Row],[CIIU]]&amp;Indicadores[[#This Row],[Año]]</f>
        <v>B07232018</v>
      </c>
      <c r="C885" s="845" t="s">
        <v>2228</v>
      </c>
      <c r="D885" s="845" t="s">
        <v>2243</v>
      </c>
      <c r="E885" s="843">
        <v>2018</v>
      </c>
      <c r="F885" s="844" t="s">
        <v>3546</v>
      </c>
      <c r="G885" s="838" t="s">
        <v>3547</v>
      </c>
      <c r="H885" s="843" t="s">
        <v>3548</v>
      </c>
      <c r="I885" s="842" t="s">
        <v>3547</v>
      </c>
      <c r="J885" s="840">
        <v>328566982</v>
      </c>
      <c r="K885" s="840">
        <v>508927854</v>
      </c>
      <c r="L885" s="841">
        <v>2418310075</v>
      </c>
      <c r="M885" s="840">
        <v>1622371285</v>
      </c>
      <c r="N885" s="839">
        <f>Indicadores[[#This Row],[Ventas]]/Indicadores[[#This Row],[Activos totales]]</f>
        <v>0.67086983665649247</v>
      </c>
      <c r="O885" s="837">
        <f>IF(Indicadores[[#This Row],[Ventas]]=0,0,Indicadores[[#This Row],[EBITDA]]/Indicadores[[#This Row],[Ventas]])</f>
        <v>0.31369382502353643</v>
      </c>
      <c r="P885" s="837">
        <f>IF(Indicadores[[#This Row],[Ventas]]=0,0,Indicadores[[#This Row],[UAI]]/Indicadores[[#This Row],[Ventas]])</f>
        <v>0.20252268086709879</v>
      </c>
      <c r="Q885" s="837">
        <f>IFERROR(Indicadores[[#This Row],[Ventas]]/Indicadores[[#This Row],[Activos totales]],0)</f>
        <v>0.67086983665649247</v>
      </c>
    </row>
    <row r="886" spans="1:17" hidden="1" x14ac:dyDescent="0.3">
      <c r="A886" s="13" t="str">
        <f>MID(Indicadores[[#This Row],[CIIU]],2,4)</f>
        <v>0729</v>
      </c>
      <c r="B886" s="13" t="str">
        <f>Indicadores[[#This Row],[CIIU]]&amp;Indicadores[[#This Row],[Año]]</f>
        <v>B07292018</v>
      </c>
      <c r="C886" s="845" t="s">
        <v>2228</v>
      </c>
      <c r="D886" s="845" t="s">
        <v>2243</v>
      </c>
      <c r="E886" s="843">
        <v>2018</v>
      </c>
      <c r="F886" s="844" t="s">
        <v>2250</v>
      </c>
      <c r="G886" s="842" t="s">
        <v>2251</v>
      </c>
      <c r="H886" s="843" t="s">
        <v>2252</v>
      </c>
      <c r="I886" s="842" t="s">
        <v>2251</v>
      </c>
      <c r="J886" s="840">
        <v>29215407</v>
      </c>
      <c r="K886" s="840">
        <v>35171666</v>
      </c>
      <c r="L886" s="841">
        <v>126233525</v>
      </c>
      <c r="M886" s="840">
        <v>161112825</v>
      </c>
      <c r="N886" s="839">
        <f>Indicadores[[#This Row],[Ventas]]/Indicadores[[#This Row],[Activos totales]]</f>
        <v>1.2763077399605216</v>
      </c>
      <c r="O886" s="837">
        <f>IF(Indicadores[[#This Row],[Ventas]]=0,0,Indicadores[[#This Row],[EBITDA]]/Indicadores[[#This Row],[Ventas]])</f>
        <v>0.21830457010483181</v>
      </c>
      <c r="P886" s="837">
        <f>IF(Indicadores[[#This Row],[Ventas]]=0,0,Indicadores[[#This Row],[UAI]]/Indicadores[[#This Row],[Ventas]])</f>
        <v>0.18133507993544276</v>
      </c>
      <c r="Q886" s="837">
        <f>IFERROR(Indicadores[[#This Row],[Ventas]]/Indicadores[[#This Row],[Activos totales]],0)</f>
        <v>1.2763077399605216</v>
      </c>
    </row>
    <row r="887" spans="1:17" hidden="1" x14ac:dyDescent="0.3">
      <c r="A887" s="13" t="str">
        <f>MID(Indicadores[[#This Row],[CIIU]],2,4)</f>
        <v>0811</v>
      </c>
      <c r="B887" s="13" t="str">
        <f>Indicadores[[#This Row],[CIIU]]&amp;Indicadores[[#This Row],[Año]]</f>
        <v>B08112018</v>
      </c>
      <c r="C887" s="845" t="s">
        <v>2228</v>
      </c>
      <c r="D887" s="845" t="s">
        <v>2253</v>
      </c>
      <c r="E887" s="843">
        <v>2018</v>
      </c>
      <c r="F887" s="844" t="s">
        <v>2254</v>
      </c>
      <c r="G887" s="842" t="s">
        <v>2255</v>
      </c>
      <c r="H887" s="843" t="s">
        <v>2256</v>
      </c>
      <c r="I887" s="842" t="s">
        <v>2255</v>
      </c>
      <c r="J887" s="840">
        <v>38067817</v>
      </c>
      <c r="K887" s="840">
        <v>57285983</v>
      </c>
      <c r="L887" s="841">
        <v>990822642</v>
      </c>
      <c r="M887" s="840">
        <v>309112859</v>
      </c>
      <c r="N887" s="839">
        <f>Indicadores[[#This Row],[Ventas]]/Indicadores[[#This Row],[Activos totales]]</f>
        <v>0.31197597420265655</v>
      </c>
      <c r="O887" s="837">
        <f>IF(Indicadores[[#This Row],[Ventas]]=0,0,Indicadores[[#This Row],[EBITDA]]/Indicadores[[#This Row],[Ventas]])</f>
        <v>0.18532384315982145</v>
      </c>
      <c r="P887" s="837">
        <f>IF(Indicadores[[#This Row],[Ventas]]=0,0,Indicadores[[#This Row],[UAI]]/Indicadores[[#This Row],[Ventas]])</f>
        <v>0.12315183885637059</v>
      </c>
      <c r="Q887" s="837">
        <f>IFERROR(Indicadores[[#This Row],[Ventas]]/Indicadores[[#This Row],[Activos totales]],0)</f>
        <v>0.31197597420265655</v>
      </c>
    </row>
    <row r="888" spans="1:17" hidden="1" x14ac:dyDescent="0.3">
      <c r="A888" s="13" t="str">
        <f>MID(Indicadores[[#This Row],[CIIU]],2,4)</f>
        <v>0812</v>
      </c>
      <c r="B888" s="13" t="str">
        <f>Indicadores[[#This Row],[CIIU]]&amp;Indicadores[[#This Row],[Año]]</f>
        <v>B08122018</v>
      </c>
      <c r="C888" s="845" t="s">
        <v>2228</v>
      </c>
      <c r="D888" s="845" t="s">
        <v>2253</v>
      </c>
      <c r="E888" s="843">
        <v>2018</v>
      </c>
      <c r="F888" s="844" t="s">
        <v>2257</v>
      </c>
      <c r="G888" s="842" t="s">
        <v>2258</v>
      </c>
      <c r="H888" s="843" t="s">
        <v>2259</v>
      </c>
      <c r="I888" s="842" t="s">
        <v>2258</v>
      </c>
      <c r="J888" s="840">
        <v>-1867821</v>
      </c>
      <c r="K888" s="840">
        <v>-222718</v>
      </c>
      <c r="L888" s="841">
        <v>489670862</v>
      </c>
      <c r="M888" s="840">
        <v>35728981</v>
      </c>
      <c r="N888" s="839">
        <f>Indicadores[[#This Row],[Ventas]]/Indicadores[[#This Row],[Activos totales]]</f>
        <v>7.29652992911798E-2</v>
      </c>
      <c r="O888" s="837">
        <f>IF(Indicadores[[#This Row],[Ventas]]=0,0,Indicadores[[#This Row],[EBITDA]]/Indicadores[[#This Row],[Ventas]])</f>
        <v>-6.2335390981343684E-3</v>
      </c>
      <c r="P888" s="837">
        <f>IF(Indicadores[[#This Row],[Ventas]]=0,0,Indicadores[[#This Row],[UAI]]/Indicadores[[#This Row],[Ventas]])</f>
        <v>-5.2277477490891774E-2</v>
      </c>
      <c r="Q888" s="837">
        <f>IFERROR(Indicadores[[#This Row],[Ventas]]/Indicadores[[#This Row],[Activos totales]],0)</f>
        <v>7.29652992911798E-2</v>
      </c>
    </row>
    <row r="889" spans="1:17" hidden="1" x14ac:dyDescent="0.3">
      <c r="A889" s="13" t="str">
        <f>MID(Indicadores[[#This Row],[CIIU]],2,4)</f>
        <v>0820</v>
      </c>
      <c r="B889" s="13" t="str">
        <f>Indicadores[[#This Row],[CIIU]]&amp;Indicadores[[#This Row],[Año]]</f>
        <v>B08202018</v>
      </c>
      <c r="C889" s="845" t="s">
        <v>2228</v>
      </c>
      <c r="D889" s="845" t="s">
        <v>2253</v>
      </c>
      <c r="E889" s="843">
        <v>2018</v>
      </c>
      <c r="F889" s="844" t="s">
        <v>2260</v>
      </c>
      <c r="G889" s="842" t="s">
        <v>2261</v>
      </c>
      <c r="H889" s="843" t="s">
        <v>2262</v>
      </c>
      <c r="I889" s="842" t="s">
        <v>2261</v>
      </c>
      <c r="J889" s="840">
        <v>-49291870</v>
      </c>
      <c r="K889" s="840">
        <v>-46436965</v>
      </c>
      <c r="L889" s="841">
        <v>198509082</v>
      </c>
      <c r="M889" s="840">
        <v>79428205</v>
      </c>
      <c r="N889" s="839">
        <f>Indicadores[[#This Row],[Ventas]]/Indicadores[[#This Row],[Activos totales]]</f>
        <v>0.40012378375715829</v>
      </c>
      <c r="O889" s="837">
        <f>IF(Indicadores[[#This Row],[Ventas]]=0,0,Indicadores[[#This Row],[EBITDA]]/Indicadores[[#This Row],[Ventas]])</f>
        <v>-0.58464074568977098</v>
      </c>
      <c r="P889" s="837">
        <f>IF(Indicadores[[#This Row],[Ventas]]=0,0,Indicadores[[#This Row],[UAI]]/Indicadores[[#This Row],[Ventas]])</f>
        <v>-0.62058396006808914</v>
      </c>
      <c r="Q889" s="837">
        <f>IFERROR(Indicadores[[#This Row],[Ventas]]/Indicadores[[#This Row],[Activos totales]],0)</f>
        <v>0.40012378375715829</v>
      </c>
    </row>
    <row r="890" spans="1:17" hidden="1" x14ac:dyDescent="0.3">
      <c r="A890" s="13" t="str">
        <f>MID(Indicadores[[#This Row],[CIIU]],2,4)</f>
        <v>0891</v>
      </c>
      <c r="B890" s="13" t="str">
        <f>Indicadores[[#This Row],[CIIU]]&amp;Indicadores[[#This Row],[Año]]</f>
        <v>B08912018</v>
      </c>
      <c r="C890" s="845" t="s">
        <v>2228</v>
      </c>
      <c r="D890" s="845" t="s">
        <v>2253</v>
      </c>
      <c r="E890" s="843">
        <v>2018</v>
      </c>
      <c r="F890" s="844" t="s">
        <v>2263</v>
      </c>
      <c r="G890" s="842" t="s">
        <v>2264</v>
      </c>
      <c r="H890" s="843" t="s">
        <v>2265</v>
      </c>
      <c r="I890" s="842" t="s">
        <v>2264</v>
      </c>
      <c r="J890" s="840">
        <v>-1732269</v>
      </c>
      <c r="K890" s="840">
        <v>-1221578</v>
      </c>
      <c r="L890" s="841">
        <v>34577422</v>
      </c>
      <c r="M890" s="840">
        <v>8119322</v>
      </c>
      <c r="N890" s="839">
        <f>Indicadores[[#This Row],[Ventas]]/Indicadores[[#This Row],[Activos totales]]</f>
        <v>0.23481571298172546</v>
      </c>
      <c r="O890" s="837">
        <f>IF(Indicadores[[#This Row],[Ventas]]=0,0,Indicadores[[#This Row],[EBITDA]]/Indicadores[[#This Row],[Ventas]])</f>
        <v>-0.15045320286595359</v>
      </c>
      <c r="P890" s="837">
        <f>IF(Indicadores[[#This Row],[Ventas]]=0,0,Indicadores[[#This Row],[UAI]]/Indicadores[[#This Row],[Ventas]])</f>
        <v>-0.21335143500898227</v>
      </c>
      <c r="Q890" s="837">
        <f>IFERROR(Indicadores[[#This Row],[Ventas]]/Indicadores[[#This Row],[Activos totales]],0)</f>
        <v>0.23481571298172546</v>
      </c>
    </row>
    <row r="891" spans="1:17" hidden="1" x14ac:dyDescent="0.3">
      <c r="A891" s="13" t="str">
        <f>MID(Indicadores[[#This Row],[CIIU]],2,4)</f>
        <v>0892</v>
      </c>
      <c r="B891" s="13" t="str">
        <f>Indicadores[[#This Row],[CIIU]]&amp;Indicadores[[#This Row],[Año]]</f>
        <v>B08922018</v>
      </c>
      <c r="C891" s="845" t="s">
        <v>2228</v>
      </c>
      <c r="D891" s="845" t="s">
        <v>2253</v>
      </c>
      <c r="E891" s="843">
        <v>2018</v>
      </c>
      <c r="F891" s="844" t="s">
        <v>2266</v>
      </c>
      <c r="G891" s="842" t="s">
        <v>2267</v>
      </c>
      <c r="H891" s="843" t="s">
        <v>2268</v>
      </c>
      <c r="I891" s="842" t="s">
        <v>2267</v>
      </c>
      <c r="J891" s="840">
        <v>-2618030</v>
      </c>
      <c r="K891" s="840">
        <v>-2547263</v>
      </c>
      <c r="L891" s="841">
        <v>69269473</v>
      </c>
      <c r="M891" s="840">
        <v>8269442</v>
      </c>
      <c r="N891" s="839">
        <f>Indicadores[[#This Row],[Ventas]]/Indicadores[[#This Row],[Activos totales]]</f>
        <v>0.11938075521377216</v>
      </c>
      <c r="O891" s="837">
        <f>IF(Indicadores[[#This Row],[Ventas]]=0,0,Indicadores[[#This Row],[EBITDA]]/Indicadores[[#This Row],[Ventas]])</f>
        <v>-0.30803323851839098</v>
      </c>
      <c r="P891" s="837">
        <f>IF(Indicadores[[#This Row],[Ventas]]=0,0,Indicadores[[#This Row],[UAI]]/Indicadores[[#This Row],[Ventas]])</f>
        <v>-0.31659088968759924</v>
      </c>
      <c r="Q891" s="837">
        <f>IFERROR(Indicadores[[#This Row],[Ventas]]/Indicadores[[#This Row],[Activos totales]],0)</f>
        <v>0.11938075521377216</v>
      </c>
    </row>
    <row r="892" spans="1:17" hidden="1" x14ac:dyDescent="0.3">
      <c r="A892" s="13" t="str">
        <f>MID(Indicadores[[#This Row],[CIIU]],2,4)</f>
        <v>0899</v>
      </c>
      <c r="B892" s="13" t="str">
        <f>Indicadores[[#This Row],[CIIU]]&amp;Indicadores[[#This Row],[Año]]</f>
        <v>B08992018</v>
      </c>
      <c r="C892" s="845" t="s">
        <v>2228</v>
      </c>
      <c r="D892" s="845" t="s">
        <v>2253</v>
      </c>
      <c r="E892" s="843">
        <v>2018</v>
      </c>
      <c r="F892" s="844" t="s">
        <v>2269</v>
      </c>
      <c r="G892" s="842" t="s">
        <v>2270</v>
      </c>
      <c r="H892" s="843" t="s">
        <v>2271</v>
      </c>
      <c r="I892" s="842" t="s">
        <v>2270</v>
      </c>
      <c r="J892" s="840">
        <v>11325452</v>
      </c>
      <c r="K892" s="840">
        <v>18160286</v>
      </c>
      <c r="L892" s="841">
        <v>187862007</v>
      </c>
      <c r="M892" s="840">
        <v>234842282</v>
      </c>
      <c r="N892" s="839">
        <f>Indicadores[[#This Row],[Ventas]]/Indicadores[[#This Row],[Activos totales]]</f>
        <v>1.2500786388383469</v>
      </c>
      <c r="O892" s="837">
        <f>IF(Indicadores[[#This Row],[Ventas]]=0,0,Indicadores[[#This Row],[EBITDA]]/Indicadores[[#This Row],[Ventas]])</f>
        <v>7.7329711861682554E-2</v>
      </c>
      <c r="P892" s="837">
        <f>IF(Indicadores[[#This Row],[Ventas]]=0,0,Indicadores[[#This Row],[UAI]]/Indicadores[[#This Row],[Ventas]])</f>
        <v>4.8225779035821155E-2</v>
      </c>
      <c r="Q892" s="837">
        <f>IFERROR(Indicadores[[#This Row],[Ventas]]/Indicadores[[#This Row],[Activos totales]],0)</f>
        <v>1.2500786388383469</v>
      </c>
    </row>
    <row r="893" spans="1:17" hidden="1" x14ac:dyDescent="0.3">
      <c r="A893" s="13" t="str">
        <f>MID(Indicadores[[#This Row],[CIIU]],2,4)</f>
        <v>0910</v>
      </c>
      <c r="B893" s="13" t="str">
        <f>Indicadores[[#This Row],[CIIU]]&amp;Indicadores[[#This Row],[Año]]</f>
        <v>B09102018</v>
      </c>
      <c r="C893" s="845" t="s">
        <v>2228</v>
      </c>
      <c r="D893" s="845" t="s">
        <v>2272</v>
      </c>
      <c r="E893" s="843">
        <v>2018</v>
      </c>
      <c r="F893" s="844" t="s">
        <v>2273</v>
      </c>
      <c r="G893" s="842" t="s">
        <v>2274</v>
      </c>
      <c r="H893" s="843" t="s">
        <v>2275</v>
      </c>
      <c r="I893" s="842" t="s">
        <v>2274</v>
      </c>
      <c r="J893" s="840">
        <v>405417838</v>
      </c>
      <c r="K893" s="840">
        <v>973563976</v>
      </c>
      <c r="L893" s="841">
        <v>11505356956</v>
      </c>
      <c r="M893" s="840">
        <v>8344211504</v>
      </c>
      <c r="N893" s="839">
        <f>Indicadores[[#This Row],[Ventas]]/Indicadores[[#This Row],[Activos totales]]</f>
        <v>0.72524577341761876</v>
      </c>
      <c r="O893" s="837">
        <f>IF(Indicadores[[#This Row],[Ventas]]=0,0,Indicadores[[#This Row],[EBITDA]]/Indicadores[[#This Row],[Ventas]])</f>
        <v>0.11667537136771983</v>
      </c>
      <c r="P893" s="837">
        <f>IF(Indicadores[[#This Row],[Ventas]]=0,0,Indicadores[[#This Row],[UAI]]/Indicadores[[#This Row],[Ventas]])</f>
        <v>4.8586716408812639E-2</v>
      </c>
      <c r="Q893" s="837">
        <f>IFERROR(Indicadores[[#This Row],[Ventas]]/Indicadores[[#This Row],[Activos totales]],0)</f>
        <v>0.72524577341761876</v>
      </c>
    </row>
    <row r="894" spans="1:17" hidden="1" x14ac:dyDescent="0.3">
      <c r="A894" s="13" t="str">
        <f>MID(Indicadores[[#This Row],[CIIU]],2,4)</f>
        <v>0990</v>
      </c>
      <c r="B894" s="13" t="str">
        <f>Indicadores[[#This Row],[CIIU]]&amp;Indicadores[[#This Row],[Año]]</f>
        <v>B09902018</v>
      </c>
      <c r="C894" s="845" t="s">
        <v>2228</v>
      </c>
      <c r="D894" s="845" t="s">
        <v>2272</v>
      </c>
      <c r="E894" s="843">
        <v>2018</v>
      </c>
      <c r="F894" s="844" t="s">
        <v>2276</v>
      </c>
      <c r="G894" s="842" t="s">
        <v>2277</v>
      </c>
      <c r="H894" s="843" t="s">
        <v>2278</v>
      </c>
      <c r="I894" s="842" t="s">
        <v>2277</v>
      </c>
      <c r="J894" s="840">
        <v>36656241</v>
      </c>
      <c r="K894" s="840">
        <v>53457182</v>
      </c>
      <c r="L894" s="841">
        <v>895411645</v>
      </c>
      <c r="M894" s="840">
        <v>796529989</v>
      </c>
      <c r="N894" s="839">
        <f>Indicadores[[#This Row],[Ventas]]/Indicadores[[#This Row],[Activos totales]]</f>
        <v>0.88956849449953268</v>
      </c>
      <c r="O894" s="837">
        <f>IF(Indicadores[[#This Row],[Ventas]]=0,0,Indicadores[[#This Row],[EBITDA]]/Indicadores[[#This Row],[Ventas]])</f>
        <v>6.7112579235230785E-2</v>
      </c>
      <c r="P894" s="837">
        <f>IF(Indicadores[[#This Row],[Ventas]]=0,0,Indicadores[[#This Row],[UAI]]/Indicadores[[#This Row],[Ventas]])</f>
        <v>4.6019913256523978E-2</v>
      </c>
      <c r="Q894" s="837">
        <f>IFERROR(Indicadores[[#This Row],[Ventas]]/Indicadores[[#This Row],[Activos totales]],0)</f>
        <v>0.88956849449953268</v>
      </c>
    </row>
    <row r="895" spans="1:17" x14ac:dyDescent="0.3">
      <c r="A895" s="13" t="str">
        <f>MID(Indicadores[[#This Row],[CIIU]],2,4)</f>
        <v>1011</v>
      </c>
      <c r="B895" s="13" t="str">
        <f>Indicadores[[#This Row],[CIIU]]&amp;Indicadores[[#This Row],[Año]]</f>
        <v>C10112018</v>
      </c>
      <c r="C895" s="845" t="s">
        <v>2279</v>
      </c>
      <c r="D895" s="845" t="s">
        <v>2280</v>
      </c>
      <c r="E895" s="843">
        <v>2018</v>
      </c>
      <c r="F895" s="844" t="s">
        <v>2281</v>
      </c>
      <c r="G895" s="842" t="s">
        <v>2282</v>
      </c>
      <c r="H895" s="843" t="s">
        <v>2283</v>
      </c>
      <c r="I895" s="842" t="s">
        <v>2282</v>
      </c>
      <c r="J895" s="840">
        <v>173291201</v>
      </c>
      <c r="K895" s="840">
        <v>276441424</v>
      </c>
      <c r="L895" s="841">
        <v>4977155264</v>
      </c>
      <c r="M895" s="840">
        <v>5473476732</v>
      </c>
      <c r="N895" s="839">
        <f>Indicadores[[#This Row],[Ventas]]/Indicadores[[#This Row],[Activos totales]]</f>
        <v>1.0997199085971694</v>
      </c>
      <c r="O895" s="837">
        <f>IF(Indicadores[[#This Row],[Ventas]]=0,0,Indicadores[[#This Row],[EBITDA]]/Indicadores[[#This Row],[Ventas]])</f>
        <v>5.0505636094846193E-2</v>
      </c>
      <c r="P895" s="837">
        <f>IF(Indicadores[[#This Row],[Ventas]]=0,0,Indicadores[[#This Row],[UAI]]/Indicadores[[#This Row],[Ventas]])</f>
        <v>3.1660169483661925E-2</v>
      </c>
      <c r="Q895" s="837">
        <f>IFERROR(Indicadores[[#This Row],[Ventas]]/Indicadores[[#This Row],[Activos totales]],0)</f>
        <v>1.0997199085971694</v>
      </c>
    </row>
    <row r="896" spans="1:17" x14ac:dyDescent="0.3">
      <c r="A896" s="13" t="str">
        <f>MID(Indicadores[[#This Row],[CIIU]],2,4)</f>
        <v>1012</v>
      </c>
      <c r="B896" s="13" t="str">
        <f>Indicadores[[#This Row],[CIIU]]&amp;Indicadores[[#This Row],[Año]]</f>
        <v>C10122018</v>
      </c>
      <c r="C896" s="845" t="s">
        <v>2279</v>
      </c>
      <c r="D896" s="845" t="s">
        <v>2280</v>
      </c>
      <c r="E896" s="843">
        <v>2018</v>
      </c>
      <c r="F896" s="844" t="s">
        <v>2284</v>
      </c>
      <c r="G896" s="842" t="s">
        <v>2285</v>
      </c>
      <c r="H896" s="843" t="s">
        <v>2286</v>
      </c>
      <c r="I896" s="842" t="s">
        <v>2285</v>
      </c>
      <c r="J896" s="840">
        <v>18280887</v>
      </c>
      <c r="K896" s="840">
        <v>22504529</v>
      </c>
      <c r="L896" s="841">
        <v>530284192</v>
      </c>
      <c r="M896" s="840">
        <v>633263148</v>
      </c>
      <c r="N896" s="839">
        <f>Indicadores[[#This Row],[Ventas]]/Indicadores[[#This Row],[Activos totales]]</f>
        <v>1.1941957870016988</v>
      </c>
      <c r="O896" s="837">
        <f>IF(Indicadores[[#This Row],[Ventas]]=0,0,Indicadores[[#This Row],[EBITDA]]/Indicadores[[#This Row],[Ventas]])</f>
        <v>3.5537405059926211E-2</v>
      </c>
      <c r="P896" s="837">
        <f>IF(Indicadores[[#This Row],[Ventas]]=0,0,Indicadores[[#This Row],[UAI]]/Indicadores[[#This Row],[Ventas]])</f>
        <v>2.8867757515553392E-2</v>
      </c>
      <c r="Q896" s="837">
        <f>IFERROR(Indicadores[[#This Row],[Ventas]]/Indicadores[[#This Row],[Activos totales]],0)</f>
        <v>1.1941957870016988</v>
      </c>
    </row>
    <row r="897" spans="1:17" x14ac:dyDescent="0.3">
      <c r="A897" s="13" t="str">
        <f>MID(Indicadores[[#This Row],[CIIU]],2,4)</f>
        <v>1020</v>
      </c>
      <c r="B897" s="13" t="str">
        <f>Indicadores[[#This Row],[CIIU]]&amp;Indicadores[[#This Row],[Año]]</f>
        <v>C10202018</v>
      </c>
      <c r="C897" s="845" t="s">
        <v>2279</v>
      </c>
      <c r="D897" s="845" t="s">
        <v>2280</v>
      </c>
      <c r="E897" s="843">
        <v>2018</v>
      </c>
      <c r="F897" s="844" t="s">
        <v>2287</v>
      </c>
      <c r="G897" s="842" t="s">
        <v>2288</v>
      </c>
      <c r="H897" s="843" t="s">
        <v>2289</v>
      </c>
      <c r="I897" s="842" t="s">
        <v>2288</v>
      </c>
      <c r="J897" s="840">
        <v>63638426</v>
      </c>
      <c r="K897" s="840">
        <v>84745051</v>
      </c>
      <c r="L897" s="841">
        <v>980562212</v>
      </c>
      <c r="M897" s="840">
        <v>796593275</v>
      </c>
      <c r="N897" s="839">
        <f>Indicadores[[#This Row],[Ventas]]/Indicadores[[#This Row],[Activos totales]]</f>
        <v>0.81238422738648219</v>
      </c>
      <c r="O897" s="837">
        <f>IF(Indicadores[[#This Row],[Ventas]]=0,0,Indicadores[[#This Row],[EBITDA]]/Indicadores[[#This Row],[Ventas]])</f>
        <v>0.10638434149472327</v>
      </c>
      <c r="P897" s="837">
        <f>IF(Indicadores[[#This Row],[Ventas]]=0,0,Indicadores[[#This Row],[UAI]]/Indicadores[[#This Row],[Ventas]])</f>
        <v>7.988822903381905E-2</v>
      </c>
      <c r="Q897" s="837">
        <f>IFERROR(Indicadores[[#This Row],[Ventas]]/Indicadores[[#This Row],[Activos totales]],0)</f>
        <v>0.81238422738648219</v>
      </c>
    </row>
    <row r="898" spans="1:17" x14ac:dyDescent="0.3">
      <c r="A898" s="13" t="str">
        <f>MID(Indicadores[[#This Row],[CIIU]],2,4)</f>
        <v>1030</v>
      </c>
      <c r="B898" s="13" t="str">
        <f>Indicadores[[#This Row],[CIIU]]&amp;Indicadores[[#This Row],[Año]]</f>
        <v>C10302018</v>
      </c>
      <c r="C898" s="845" t="s">
        <v>2279</v>
      </c>
      <c r="D898" s="845" t="s">
        <v>2280</v>
      </c>
      <c r="E898" s="843">
        <v>2018</v>
      </c>
      <c r="F898" s="844" t="s">
        <v>2290</v>
      </c>
      <c r="G898" s="842" t="s">
        <v>2291</v>
      </c>
      <c r="H898" s="843" t="s">
        <v>2292</v>
      </c>
      <c r="I898" s="842" t="s">
        <v>2291</v>
      </c>
      <c r="J898" s="840">
        <v>-145758819</v>
      </c>
      <c r="K898" s="840">
        <v>-3551172</v>
      </c>
      <c r="L898" s="841">
        <v>6963149306</v>
      </c>
      <c r="M898" s="840">
        <v>6738818753</v>
      </c>
      <c r="N898" s="839">
        <f>Indicadores[[#This Row],[Ventas]]/Indicadores[[#This Row],[Activos totales]]</f>
        <v>0.96778317638447031</v>
      </c>
      <c r="O898" s="837">
        <f>IF(Indicadores[[#This Row],[Ventas]]=0,0,Indicadores[[#This Row],[EBITDA]]/Indicadores[[#This Row],[Ventas]])</f>
        <v>-5.2697247546820908E-4</v>
      </c>
      <c r="P898" s="837">
        <f>IF(Indicadores[[#This Row],[Ventas]]=0,0,Indicadores[[#This Row],[UAI]]/Indicadores[[#This Row],[Ventas]])</f>
        <v>-2.1629728345952445E-2</v>
      </c>
      <c r="Q898" s="837">
        <f>IFERROR(Indicadores[[#This Row],[Ventas]]/Indicadores[[#This Row],[Activos totales]],0)</f>
        <v>0.96778317638447031</v>
      </c>
    </row>
    <row r="899" spans="1:17" x14ac:dyDescent="0.3">
      <c r="A899" s="13" t="str">
        <f>MID(Indicadores[[#This Row],[CIIU]],2,4)</f>
        <v>1040</v>
      </c>
      <c r="B899" s="13" t="str">
        <f>Indicadores[[#This Row],[CIIU]]&amp;Indicadores[[#This Row],[Año]]</f>
        <v>C10402018</v>
      </c>
      <c r="C899" s="845" t="s">
        <v>2279</v>
      </c>
      <c r="D899" s="845" t="s">
        <v>2280</v>
      </c>
      <c r="E899" s="843">
        <v>2018</v>
      </c>
      <c r="F899" s="844" t="s">
        <v>2293</v>
      </c>
      <c r="G899" s="842" t="s">
        <v>2294</v>
      </c>
      <c r="H899" s="843" t="s">
        <v>2295</v>
      </c>
      <c r="I899" s="842" t="s">
        <v>2294</v>
      </c>
      <c r="J899" s="840">
        <v>36808871</v>
      </c>
      <c r="K899" s="840">
        <v>140328215</v>
      </c>
      <c r="L899" s="841">
        <v>3384424134</v>
      </c>
      <c r="M899" s="840">
        <v>4817243224</v>
      </c>
      <c r="N899" s="839">
        <f>Indicadores[[#This Row],[Ventas]]/Indicadores[[#This Row],[Activos totales]]</f>
        <v>1.4233568350981389</v>
      </c>
      <c r="O899" s="837">
        <f>IF(Indicadores[[#This Row],[Ventas]]=0,0,Indicadores[[#This Row],[EBITDA]]/Indicadores[[#This Row],[Ventas]])</f>
        <v>2.9130398544310661E-2</v>
      </c>
      <c r="P899" s="837">
        <f>IF(Indicadores[[#This Row],[Ventas]]=0,0,Indicadores[[#This Row],[UAI]]/Indicadores[[#This Row],[Ventas]])</f>
        <v>7.6410654991664996E-3</v>
      </c>
      <c r="Q899" s="837">
        <f>IFERROR(Indicadores[[#This Row],[Ventas]]/Indicadores[[#This Row],[Activos totales]],0)</f>
        <v>1.4233568350981389</v>
      </c>
    </row>
    <row r="900" spans="1:17" x14ac:dyDescent="0.3">
      <c r="A900" s="13" t="str">
        <f>MID(Indicadores[[#This Row],[CIIU]],2,4)</f>
        <v>1051</v>
      </c>
      <c r="B900" s="13" t="str">
        <f>Indicadores[[#This Row],[CIIU]]&amp;Indicadores[[#This Row],[Año]]</f>
        <v>C10512018</v>
      </c>
      <c r="C900" s="845" t="s">
        <v>2279</v>
      </c>
      <c r="D900" s="845" t="s">
        <v>2280</v>
      </c>
      <c r="E900" s="843">
        <v>2018</v>
      </c>
      <c r="F900" s="844" t="s">
        <v>2296</v>
      </c>
      <c r="G900" s="842" t="s">
        <v>2297</v>
      </c>
      <c r="H900" s="843" t="s">
        <v>2298</v>
      </c>
      <c r="I900" s="842" t="s">
        <v>2297</v>
      </c>
      <c r="J900" s="840">
        <v>217955726</v>
      </c>
      <c r="K900" s="840">
        <v>317284202</v>
      </c>
      <c r="L900" s="841">
        <v>6229260348</v>
      </c>
      <c r="M900" s="840">
        <v>6959047762</v>
      </c>
      <c r="N900" s="839">
        <f>Indicadores[[#This Row],[Ventas]]/Indicadores[[#This Row],[Activos totales]]</f>
        <v>1.1171547460260365</v>
      </c>
      <c r="O900" s="837">
        <f>IF(Indicadores[[#This Row],[Ventas]]=0,0,Indicadores[[#This Row],[EBITDA]]/Indicadores[[#This Row],[Ventas]])</f>
        <v>4.559304848179601E-2</v>
      </c>
      <c r="P900" s="837">
        <f>IF(Indicadores[[#This Row],[Ventas]]=0,0,Indicadores[[#This Row],[UAI]]/Indicadores[[#This Row],[Ventas]])</f>
        <v>3.1319762912125848E-2</v>
      </c>
      <c r="Q900" s="837">
        <f>IFERROR(Indicadores[[#This Row],[Ventas]]/Indicadores[[#This Row],[Activos totales]],0)</f>
        <v>1.1171547460260365</v>
      </c>
    </row>
    <row r="901" spans="1:17" x14ac:dyDescent="0.3">
      <c r="A901" s="13" t="str">
        <f>MID(Indicadores[[#This Row],[CIIU]],2,4)</f>
        <v>1052</v>
      </c>
      <c r="B901" s="13" t="str">
        <f>Indicadores[[#This Row],[CIIU]]&amp;Indicadores[[#This Row],[Año]]</f>
        <v>C10522018</v>
      </c>
      <c r="C901" s="845" t="s">
        <v>2279</v>
      </c>
      <c r="D901" s="845" t="s">
        <v>2280</v>
      </c>
      <c r="E901" s="843">
        <v>2018</v>
      </c>
      <c r="F901" s="844" t="s">
        <v>2299</v>
      </c>
      <c r="G901" s="842" t="s">
        <v>2300</v>
      </c>
      <c r="H901" s="843" t="s">
        <v>2301</v>
      </c>
      <c r="I901" s="842" t="s">
        <v>2300</v>
      </c>
      <c r="J901" s="840">
        <v>80182097</v>
      </c>
      <c r="K901" s="840">
        <v>101004904</v>
      </c>
      <c r="L901" s="841">
        <v>542089388</v>
      </c>
      <c r="M901" s="840">
        <v>778522603</v>
      </c>
      <c r="N901" s="839">
        <f>Indicadores[[#This Row],[Ventas]]/Indicadores[[#This Row],[Activos totales]]</f>
        <v>1.4361517126765817</v>
      </c>
      <c r="O901" s="837">
        <f>IF(Indicadores[[#This Row],[Ventas]]=0,0,Indicadores[[#This Row],[EBITDA]]/Indicadores[[#This Row],[Ventas]])</f>
        <v>0.12973920552952783</v>
      </c>
      <c r="P901" s="837">
        <f>IF(Indicadores[[#This Row],[Ventas]]=0,0,Indicadores[[#This Row],[UAI]]/Indicadores[[#This Row],[Ventas]])</f>
        <v>0.10299263848091511</v>
      </c>
      <c r="Q901" s="837">
        <f>IFERROR(Indicadores[[#This Row],[Ventas]]/Indicadores[[#This Row],[Activos totales]],0)</f>
        <v>1.4361517126765817</v>
      </c>
    </row>
    <row r="902" spans="1:17" x14ac:dyDescent="0.3">
      <c r="A902" s="13" t="str">
        <f>MID(Indicadores[[#This Row],[CIIU]],2,4)</f>
        <v>1061</v>
      </c>
      <c r="B902" s="13" t="str">
        <f>Indicadores[[#This Row],[CIIU]]&amp;Indicadores[[#This Row],[Año]]</f>
        <v>C10612018</v>
      </c>
      <c r="C902" s="845" t="s">
        <v>2279</v>
      </c>
      <c r="D902" s="845" t="s">
        <v>2280</v>
      </c>
      <c r="E902" s="843">
        <v>2018</v>
      </c>
      <c r="F902" s="844" t="s">
        <v>2302</v>
      </c>
      <c r="G902" s="842" t="s">
        <v>2303</v>
      </c>
      <c r="H902" s="843" t="s">
        <v>2304</v>
      </c>
      <c r="I902" s="842" t="s">
        <v>2303</v>
      </c>
      <c r="J902" s="840">
        <v>14859449</v>
      </c>
      <c r="K902" s="840">
        <v>26813801</v>
      </c>
      <c r="L902" s="841">
        <v>1689562066</v>
      </c>
      <c r="M902" s="840">
        <v>3694308353</v>
      </c>
      <c r="N902" s="839">
        <f>Indicadores[[#This Row],[Ventas]]/Indicadores[[#This Row],[Activos totales]]</f>
        <v>2.1865478796799644</v>
      </c>
      <c r="O902" s="837">
        <f>IF(Indicadores[[#This Row],[Ventas]]=0,0,Indicadores[[#This Row],[EBITDA]]/Indicadores[[#This Row],[Ventas]])</f>
        <v>7.2581383138268863E-3</v>
      </c>
      <c r="P902" s="837">
        <f>IF(Indicadores[[#This Row],[Ventas]]=0,0,Indicadores[[#This Row],[UAI]]/Indicadores[[#This Row],[Ventas]])</f>
        <v>4.0222546631585952E-3</v>
      </c>
      <c r="Q902" s="837">
        <f>IFERROR(Indicadores[[#This Row],[Ventas]]/Indicadores[[#This Row],[Activos totales]],0)</f>
        <v>2.1865478796799644</v>
      </c>
    </row>
    <row r="903" spans="1:17" x14ac:dyDescent="0.3">
      <c r="A903" s="13" t="str">
        <f>MID(Indicadores[[#This Row],[CIIU]],2,4)</f>
        <v>1062</v>
      </c>
      <c r="B903" s="13" t="str">
        <f>Indicadores[[#This Row],[CIIU]]&amp;Indicadores[[#This Row],[Año]]</f>
        <v>C10622018</v>
      </c>
      <c r="C903" s="845" t="s">
        <v>2279</v>
      </c>
      <c r="D903" s="845" t="s">
        <v>2280</v>
      </c>
      <c r="E903" s="843">
        <v>2018</v>
      </c>
      <c r="F903" s="844" t="s">
        <v>2305</v>
      </c>
      <c r="G903" s="842" t="s">
        <v>2306</v>
      </c>
      <c r="H903" s="843" t="s">
        <v>2307</v>
      </c>
      <c r="I903" s="842" t="s">
        <v>2306</v>
      </c>
      <c r="J903" s="840">
        <v>55987283</v>
      </c>
      <c r="K903" s="840">
        <v>84515379</v>
      </c>
      <c r="L903" s="841">
        <v>1704883000</v>
      </c>
      <c r="M903" s="840">
        <v>1147177112</v>
      </c>
      <c r="N903" s="839">
        <f>Indicadores[[#This Row],[Ventas]]/Indicadores[[#This Row],[Activos totales]]</f>
        <v>0.67287732471964357</v>
      </c>
      <c r="O903" s="837">
        <f>IF(Indicadores[[#This Row],[Ventas]]=0,0,Indicadores[[#This Row],[EBITDA]]/Indicadores[[#This Row],[Ventas]])</f>
        <v>7.3672476652410751E-2</v>
      </c>
      <c r="P903" s="837">
        <f>IF(Indicadores[[#This Row],[Ventas]]=0,0,Indicadores[[#This Row],[UAI]]/Indicadores[[#This Row],[Ventas]])</f>
        <v>4.8804393335908886E-2</v>
      </c>
      <c r="Q903" s="837">
        <f>IFERROR(Indicadores[[#This Row],[Ventas]]/Indicadores[[#This Row],[Activos totales]],0)</f>
        <v>0.67287732471964357</v>
      </c>
    </row>
    <row r="904" spans="1:17" x14ac:dyDescent="0.3">
      <c r="A904" s="13" t="str">
        <f>MID(Indicadores[[#This Row],[CIIU]],2,4)</f>
        <v>1063</v>
      </c>
      <c r="B904" s="13" t="str">
        <f>Indicadores[[#This Row],[CIIU]]&amp;Indicadores[[#This Row],[Año]]</f>
        <v>C10632018</v>
      </c>
      <c r="C904" s="845" t="s">
        <v>2279</v>
      </c>
      <c r="D904" s="845" t="s">
        <v>2280</v>
      </c>
      <c r="E904" s="843">
        <v>2018</v>
      </c>
      <c r="F904" s="844" t="s">
        <v>2308</v>
      </c>
      <c r="G904" s="838" t="s">
        <v>2309</v>
      </c>
      <c r="H904" s="843" t="s">
        <v>2310</v>
      </c>
      <c r="I904" s="842" t="s">
        <v>2309</v>
      </c>
      <c r="J904" s="840">
        <v>14530792</v>
      </c>
      <c r="K904" s="840">
        <v>17557316</v>
      </c>
      <c r="L904" s="841">
        <v>138031006</v>
      </c>
      <c r="M904" s="840">
        <v>79841807</v>
      </c>
      <c r="N904" s="839">
        <f>Indicadores[[#This Row],[Ventas]]/Indicadores[[#This Row],[Activos totales]]</f>
        <v>0.57843385565124406</v>
      </c>
      <c r="O904" s="837">
        <f>IF(Indicadores[[#This Row],[Ventas]]=0,0,Indicadores[[#This Row],[EBITDA]]/Indicadores[[#This Row],[Ventas]])</f>
        <v>0.21990128555081426</v>
      </c>
      <c r="P904" s="837">
        <f>IF(Indicadores[[#This Row],[Ventas]]=0,0,Indicadores[[#This Row],[UAI]]/Indicadores[[#This Row],[Ventas]])</f>
        <v>0.18199477875043585</v>
      </c>
      <c r="Q904" s="837">
        <f>IFERROR(Indicadores[[#This Row],[Ventas]]/Indicadores[[#This Row],[Activos totales]],0)</f>
        <v>0.57843385565124406</v>
      </c>
    </row>
    <row r="905" spans="1:17" x14ac:dyDescent="0.3">
      <c r="A905" s="13" t="str">
        <f>MID(Indicadores[[#This Row],[CIIU]],2,4)</f>
        <v>1071</v>
      </c>
      <c r="B905" s="13" t="str">
        <f>Indicadores[[#This Row],[CIIU]]&amp;Indicadores[[#This Row],[Año]]</f>
        <v>C10712018</v>
      </c>
      <c r="C905" s="845" t="s">
        <v>2279</v>
      </c>
      <c r="D905" s="845" t="s">
        <v>2280</v>
      </c>
      <c r="E905" s="843">
        <v>2018</v>
      </c>
      <c r="F905" s="844" t="s">
        <v>2311</v>
      </c>
      <c r="G905" s="842" t="s">
        <v>2312</v>
      </c>
      <c r="H905" s="843" t="s">
        <v>2313</v>
      </c>
      <c r="I905" s="842" t="s">
        <v>2312</v>
      </c>
      <c r="J905" s="840">
        <v>171062639</v>
      </c>
      <c r="K905" s="840">
        <v>538925685</v>
      </c>
      <c r="L905" s="841">
        <v>8035205051</v>
      </c>
      <c r="M905" s="840">
        <v>3562066767</v>
      </c>
      <c r="N905" s="839">
        <f>Indicadores[[#This Row],[Ventas]]/Indicadores[[#This Row],[Activos totales]]</f>
        <v>0.44330751292484971</v>
      </c>
      <c r="O905" s="837">
        <f>IF(Indicadores[[#This Row],[Ventas]]=0,0,Indicadores[[#This Row],[EBITDA]]/Indicadores[[#This Row],[Ventas]])</f>
        <v>0.15129578423199724</v>
      </c>
      <c r="P905" s="837">
        <f>IF(Indicadores[[#This Row],[Ventas]]=0,0,Indicadores[[#This Row],[UAI]]/Indicadores[[#This Row],[Ventas]])</f>
        <v>4.8023422970274718E-2</v>
      </c>
      <c r="Q905" s="837">
        <f>IFERROR(Indicadores[[#This Row],[Ventas]]/Indicadores[[#This Row],[Activos totales]],0)</f>
        <v>0.44330751292484971</v>
      </c>
    </row>
    <row r="906" spans="1:17" x14ac:dyDescent="0.3">
      <c r="A906" s="13" t="str">
        <f>MID(Indicadores[[#This Row],[CIIU]],2,4)</f>
        <v>1072</v>
      </c>
      <c r="B906" s="13" t="str">
        <f>Indicadores[[#This Row],[CIIU]]&amp;Indicadores[[#This Row],[Año]]</f>
        <v>C10722018</v>
      </c>
      <c r="C906" s="845" t="s">
        <v>2279</v>
      </c>
      <c r="D906" s="845" t="s">
        <v>2280</v>
      </c>
      <c r="E906" s="843">
        <v>2018</v>
      </c>
      <c r="F906" s="844" t="s">
        <v>2314</v>
      </c>
      <c r="G906" s="842" t="s">
        <v>2315</v>
      </c>
      <c r="H906" s="843" t="s">
        <v>2316</v>
      </c>
      <c r="I906" s="842" t="s">
        <v>2315</v>
      </c>
      <c r="J906" s="840">
        <v>3793320</v>
      </c>
      <c r="K906" s="840">
        <v>7630508</v>
      </c>
      <c r="L906" s="841">
        <v>149280949</v>
      </c>
      <c r="M906" s="840">
        <v>117014044</v>
      </c>
      <c r="N906" s="839">
        <f>Indicadores[[#This Row],[Ventas]]/Indicadores[[#This Row],[Activos totales]]</f>
        <v>0.78385115303627928</v>
      </c>
      <c r="O906" s="837">
        <f>IF(Indicadores[[#This Row],[Ventas]]=0,0,Indicadores[[#This Row],[EBITDA]]/Indicadores[[#This Row],[Ventas]])</f>
        <v>6.5210189641851879E-2</v>
      </c>
      <c r="P906" s="837">
        <f>IF(Indicadores[[#This Row],[Ventas]]=0,0,Indicadores[[#This Row],[UAI]]/Indicadores[[#This Row],[Ventas]])</f>
        <v>3.2417647235574561E-2</v>
      </c>
      <c r="Q906" s="837">
        <f>IFERROR(Indicadores[[#This Row],[Ventas]]/Indicadores[[#This Row],[Activos totales]],0)</f>
        <v>0.78385115303627928</v>
      </c>
    </row>
    <row r="907" spans="1:17" x14ac:dyDescent="0.3">
      <c r="A907" s="13" t="str">
        <f>MID(Indicadores[[#This Row],[CIIU]],2,4)</f>
        <v>1081</v>
      </c>
      <c r="B907" s="13" t="str">
        <f>Indicadores[[#This Row],[CIIU]]&amp;Indicadores[[#This Row],[Año]]</f>
        <v>C10812018</v>
      </c>
      <c r="C907" s="845" t="s">
        <v>2279</v>
      </c>
      <c r="D907" s="845" t="s">
        <v>2280</v>
      </c>
      <c r="E907" s="843">
        <v>2018</v>
      </c>
      <c r="F907" s="844" t="s">
        <v>2317</v>
      </c>
      <c r="G907" s="842" t="s">
        <v>2318</v>
      </c>
      <c r="H907" s="843" t="s">
        <v>2319</v>
      </c>
      <c r="I907" s="842" t="s">
        <v>2318</v>
      </c>
      <c r="J907" s="840">
        <v>86088146</v>
      </c>
      <c r="K907" s="840">
        <v>167181816</v>
      </c>
      <c r="L907" s="841">
        <v>2075673609</v>
      </c>
      <c r="M907" s="840">
        <v>2558828439</v>
      </c>
      <c r="N907" s="839">
        <f>Indicadores[[#This Row],[Ventas]]/Indicadores[[#This Row],[Activos totales]]</f>
        <v>1.2327701368389852</v>
      </c>
      <c r="O907" s="837">
        <f>IF(Indicadores[[#This Row],[Ventas]]=0,0,Indicadores[[#This Row],[EBITDA]]/Indicadores[[#This Row],[Ventas]])</f>
        <v>6.5335296986669136E-2</v>
      </c>
      <c r="P907" s="837">
        <f>IF(Indicadores[[#This Row],[Ventas]]=0,0,Indicadores[[#This Row],[UAI]]/Indicadores[[#This Row],[Ventas]])</f>
        <v>3.3643578712781376E-2</v>
      </c>
      <c r="Q907" s="837">
        <f>IFERROR(Indicadores[[#This Row],[Ventas]]/Indicadores[[#This Row],[Activos totales]],0)</f>
        <v>1.2327701368389852</v>
      </c>
    </row>
    <row r="908" spans="1:17" x14ac:dyDescent="0.3">
      <c r="A908" s="13" t="str">
        <f>MID(Indicadores[[#This Row],[CIIU]],2,4)</f>
        <v>1082</v>
      </c>
      <c r="B908" s="13" t="str">
        <f>Indicadores[[#This Row],[CIIU]]&amp;Indicadores[[#This Row],[Año]]</f>
        <v>C10822018</v>
      </c>
      <c r="C908" s="845" t="s">
        <v>2279</v>
      </c>
      <c r="D908" s="845" t="s">
        <v>2280</v>
      </c>
      <c r="E908" s="843">
        <v>2018</v>
      </c>
      <c r="F908" s="844" t="s">
        <v>2320</v>
      </c>
      <c r="G908" s="842" t="s">
        <v>2321</v>
      </c>
      <c r="H908" s="843" t="s">
        <v>2322</v>
      </c>
      <c r="I908" s="842" t="s">
        <v>2321</v>
      </c>
      <c r="J908" s="840">
        <v>212970734</v>
      </c>
      <c r="K908" s="840">
        <v>266622932</v>
      </c>
      <c r="L908" s="841">
        <v>2472017515</v>
      </c>
      <c r="M908" s="840">
        <v>1731570088</v>
      </c>
      <c r="N908" s="839">
        <f>Indicadores[[#This Row],[Ventas]]/Indicadores[[#This Row],[Activos totales]]</f>
        <v>0.70046837350179536</v>
      </c>
      <c r="O908" s="837">
        <f>IF(Indicadores[[#This Row],[Ventas]]=0,0,Indicadores[[#This Row],[EBITDA]]/Indicadores[[#This Row],[Ventas]])</f>
        <v>0.15397755704359337</v>
      </c>
      <c r="P908" s="837">
        <f>IF(Indicadores[[#This Row],[Ventas]]=0,0,Indicadores[[#This Row],[UAI]]/Indicadores[[#This Row],[Ventas]])</f>
        <v>0.12299284647841525</v>
      </c>
      <c r="Q908" s="837">
        <f>IFERROR(Indicadores[[#This Row],[Ventas]]/Indicadores[[#This Row],[Activos totales]],0)</f>
        <v>0.70046837350179536</v>
      </c>
    </row>
    <row r="909" spans="1:17" x14ac:dyDescent="0.3">
      <c r="A909" s="13" t="str">
        <f>MID(Indicadores[[#This Row],[CIIU]],2,4)</f>
        <v>1083</v>
      </c>
      <c r="B909" s="13" t="str">
        <f>Indicadores[[#This Row],[CIIU]]&amp;Indicadores[[#This Row],[Año]]</f>
        <v>C10832018</v>
      </c>
      <c r="C909" s="845" t="s">
        <v>2279</v>
      </c>
      <c r="D909" s="845" t="s">
        <v>2280</v>
      </c>
      <c r="E909" s="843">
        <v>2018</v>
      </c>
      <c r="F909" s="844" t="s">
        <v>2323</v>
      </c>
      <c r="G909" s="842" t="s">
        <v>2324</v>
      </c>
      <c r="H909" s="843" t="s">
        <v>2325</v>
      </c>
      <c r="I909" s="842" t="s">
        <v>2324</v>
      </c>
      <c r="J909" s="840">
        <v>26127035</v>
      </c>
      <c r="K909" s="840">
        <v>34352881</v>
      </c>
      <c r="L909" s="841">
        <v>379222088</v>
      </c>
      <c r="M909" s="840">
        <v>316300699</v>
      </c>
      <c r="N909" s="839">
        <f>Indicadores[[#This Row],[Ventas]]/Indicadores[[#This Row],[Activos totales]]</f>
        <v>0.83407773178022271</v>
      </c>
      <c r="O909" s="837">
        <f>IF(Indicadores[[#This Row],[Ventas]]=0,0,Indicadores[[#This Row],[EBITDA]]/Indicadores[[#This Row],[Ventas]])</f>
        <v>0.10860829934492178</v>
      </c>
      <c r="P909" s="837">
        <f>IF(Indicadores[[#This Row],[Ventas]]=0,0,Indicadores[[#This Row],[UAI]]/Indicadores[[#This Row],[Ventas]])</f>
        <v>8.2601888274676238E-2</v>
      </c>
      <c r="Q909" s="837">
        <f>IFERROR(Indicadores[[#This Row],[Ventas]]/Indicadores[[#This Row],[Activos totales]],0)</f>
        <v>0.83407773178022271</v>
      </c>
    </row>
    <row r="910" spans="1:17" x14ac:dyDescent="0.3">
      <c r="A910" s="13" t="str">
        <f>MID(Indicadores[[#This Row],[CIIU]],2,4)</f>
        <v>1084</v>
      </c>
      <c r="B910" s="13" t="str">
        <f>Indicadores[[#This Row],[CIIU]]&amp;Indicadores[[#This Row],[Año]]</f>
        <v>C10842018</v>
      </c>
      <c r="C910" s="845" t="s">
        <v>2279</v>
      </c>
      <c r="D910" s="845" t="s">
        <v>2280</v>
      </c>
      <c r="E910" s="843">
        <v>2018</v>
      </c>
      <c r="F910" s="844" t="s">
        <v>2326</v>
      </c>
      <c r="G910" s="842" t="s">
        <v>2327</v>
      </c>
      <c r="H910" s="843" t="s">
        <v>2328</v>
      </c>
      <c r="I910" s="842" t="s">
        <v>2327</v>
      </c>
      <c r="J910" s="840">
        <v>-63511</v>
      </c>
      <c r="K910" s="840">
        <v>12444792</v>
      </c>
      <c r="L910" s="841">
        <v>319879882</v>
      </c>
      <c r="M910" s="840">
        <v>333129955</v>
      </c>
      <c r="N910" s="839">
        <f>Indicadores[[#This Row],[Ventas]]/Indicadores[[#This Row],[Activos totales]]</f>
        <v>1.0414220266593697</v>
      </c>
      <c r="O910" s="837">
        <f>IF(Indicadores[[#This Row],[Ventas]]=0,0,Indicadores[[#This Row],[EBITDA]]/Indicadores[[#This Row],[Ventas]])</f>
        <v>3.7357168916256719E-2</v>
      </c>
      <c r="P910" s="837">
        <f>IF(Indicadores[[#This Row],[Ventas]]=0,0,Indicadores[[#This Row],[UAI]]/Indicadores[[#This Row],[Ventas]])</f>
        <v>-1.9064932182397107E-4</v>
      </c>
      <c r="Q910" s="837">
        <f>IFERROR(Indicadores[[#This Row],[Ventas]]/Indicadores[[#This Row],[Activos totales]],0)</f>
        <v>1.0414220266593697</v>
      </c>
    </row>
    <row r="911" spans="1:17" x14ac:dyDescent="0.3">
      <c r="A911" s="13" t="str">
        <f>MID(Indicadores[[#This Row],[CIIU]],2,4)</f>
        <v>1089</v>
      </c>
      <c r="B911" s="13" t="str">
        <f>Indicadores[[#This Row],[CIIU]]&amp;Indicadores[[#This Row],[Año]]</f>
        <v>C10892018</v>
      </c>
      <c r="C911" s="845" t="s">
        <v>2279</v>
      </c>
      <c r="D911" s="845" t="s">
        <v>2280</v>
      </c>
      <c r="E911" s="843">
        <v>2018</v>
      </c>
      <c r="F911" s="844" t="s">
        <v>2329</v>
      </c>
      <c r="G911" s="842" t="s">
        <v>2330</v>
      </c>
      <c r="H911" s="843" t="s">
        <v>2331</v>
      </c>
      <c r="I911" s="842" t="s">
        <v>2330</v>
      </c>
      <c r="J911" s="840">
        <v>796119687</v>
      </c>
      <c r="K911" s="840">
        <v>972209058</v>
      </c>
      <c r="L911" s="841">
        <v>7217868048</v>
      </c>
      <c r="M911" s="840">
        <v>7297370595</v>
      </c>
      <c r="N911" s="839">
        <f>Indicadores[[#This Row],[Ventas]]/Indicadores[[#This Row],[Activos totales]]</f>
        <v>1.0110146855652244</v>
      </c>
      <c r="O911" s="837">
        <f>IF(Indicadores[[#This Row],[Ventas]]=0,0,Indicadores[[#This Row],[EBITDA]]/Indicadores[[#This Row],[Ventas]])</f>
        <v>0.13322731048716871</v>
      </c>
      <c r="P911" s="837">
        <f>IF(Indicadores[[#This Row],[Ventas]]=0,0,Indicadores[[#This Row],[UAI]]/Indicadores[[#This Row],[Ventas]])</f>
        <v>0.10909678721065419</v>
      </c>
      <c r="Q911" s="837">
        <f>IFERROR(Indicadores[[#This Row],[Ventas]]/Indicadores[[#This Row],[Activos totales]],0)</f>
        <v>1.0110146855652244</v>
      </c>
    </row>
    <row r="912" spans="1:17" x14ac:dyDescent="0.3">
      <c r="A912" s="13" t="str">
        <f>MID(Indicadores[[#This Row],[CIIU]],2,4)</f>
        <v>1090</v>
      </c>
      <c r="B912" s="13" t="str">
        <f>Indicadores[[#This Row],[CIIU]]&amp;Indicadores[[#This Row],[Año]]</f>
        <v>C10902018</v>
      </c>
      <c r="C912" s="845" t="s">
        <v>2279</v>
      </c>
      <c r="D912" s="845" t="s">
        <v>2280</v>
      </c>
      <c r="E912" s="843">
        <v>2018</v>
      </c>
      <c r="F912" s="844" t="s">
        <v>2332</v>
      </c>
      <c r="G912" s="842" t="s">
        <v>2333</v>
      </c>
      <c r="H912" s="843" t="s">
        <v>2334</v>
      </c>
      <c r="I912" s="842" t="s">
        <v>2333</v>
      </c>
      <c r="J912" s="840">
        <v>311940292</v>
      </c>
      <c r="K912" s="840">
        <v>404055263</v>
      </c>
      <c r="L912" s="841">
        <v>4842958577</v>
      </c>
      <c r="M912" s="840">
        <v>9244046380</v>
      </c>
      <c r="N912" s="839">
        <f>Indicadores[[#This Row],[Ventas]]/Indicadores[[#This Row],[Activos totales]]</f>
        <v>1.9087601582845419</v>
      </c>
      <c r="O912" s="837">
        <f>IF(Indicadores[[#This Row],[Ventas]]=0,0,Indicadores[[#This Row],[EBITDA]]/Indicadores[[#This Row],[Ventas]])</f>
        <v>4.3709783182632626E-2</v>
      </c>
      <c r="P912" s="837">
        <f>IF(Indicadores[[#This Row],[Ventas]]=0,0,Indicadores[[#This Row],[UAI]]/Indicadores[[#This Row],[Ventas]])</f>
        <v>3.3744994256508697E-2</v>
      </c>
      <c r="Q912" s="837">
        <f>IFERROR(Indicadores[[#This Row],[Ventas]]/Indicadores[[#This Row],[Activos totales]],0)</f>
        <v>1.9087601582845419</v>
      </c>
    </row>
    <row r="913" spans="1:17" x14ac:dyDescent="0.3">
      <c r="A913" s="13" t="str">
        <f>MID(Indicadores[[#This Row],[CIIU]],2,4)</f>
        <v>1101</v>
      </c>
      <c r="B913" s="13" t="str">
        <f>Indicadores[[#This Row],[CIIU]]&amp;Indicadores[[#This Row],[Año]]</f>
        <v>C11012018</v>
      </c>
      <c r="C913" s="845" t="s">
        <v>2279</v>
      </c>
      <c r="D913" s="845" t="s">
        <v>2335</v>
      </c>
      <c r="E913" s="843">
        <v>2018</v>
      </c>
      <c r="F913" s="844" t="s">
        <v>2336</v>
      </c>
      <c r="G913" s="842" t="s">
        <v>2337</v>
      </c>
      <c r="H913" s="843" t="s">
        <v>2338</v>
      </c>
      <c r="I913" s="842" t="s">
        <v>2337</v>
      </c>
      <c r="J913" s="840">
        <v>1862845</v>
      </c>
      <c r="K913" s="840">
        <v>4343324</v>
      </c>
      <c r="L913" s="841">
        <v>130984438</v>
      </c>
      <c r="M913" s="840">
        <v>70716343</v>
      </c>
      <c r="N913" s="839">
        <f>Indicadores[[#This Row],[Ventas]]/Indicadores[[#This Row],[Activos totales]]</f>
        <v>0.53988354708213504</v>
      </c>
      <c r="O913" s="837">
        <f>IF(Indicadores[[#This Row],[Ventas]]=0,0,Indicadores[[#This Row],[EBITDA]]/Indicadores[[#This Row],[Ventas]])</f>
        <v>6.1418956576982493E-2</v>
      </c>
      <c r="P913" s="837">
        <f>IF(Indicadores[[#This Row],[Ventas]]=0,0,Indicadores[[#This Row],[UAI]]/Indicadores[[#This Row],[Ventas]])</f>
        <v>2.6342496245881947E-2</v>
      </c>
      <c r="Q913" s="837">
        <f>IFERROR(Indicadores[[#This Row],[Ventas]]/Indicadores[[#This Row],[Activos totales]],0)</f>
        <v>0.53988354708213504</v>
      </c>
    </row>
    <row r="914" spans="1:17" x14ac:dyDescent="0.3">
      <c r="A914" s="13" t="str">
        <f>MID(Indicadores[[#This Row],[CIIU]],2,4)</f>
        <v>1102</v>
      </c>
      <c r="B914" s="13" t="str">
        <f>Indicadores[[#This Row],[CIIU]]&amp;Indicadores[[#This Row],[Año]]</f>
        <v>C11022018</v>
      </c>
      <c r="C914" s="845" t="s">
        <v>2279</v>
      </c>
      <c r="D914" s="845" t="s">
        <v>2335</v>
      </c>
      <c r="E914" s="843">
        <v>2018</v>
      </c>
      <c r="F914" s="844" t="s">
        <v>2339</v>
      </c>
      <c r="G914" s="842" t="s">
        <v>2340</v>
      </c>
      <c r="H914" s="843" t="s">
        <v>2341</v>
      </c>
      <c r="I914" s="842" t="s">
        <v>2340</v>
      </c>
      <c r="J914" s="840">
        <v>-251622</v>
      </c>
      <c r="K914" s="840">
        <v>71185</v>
      </c>
      <c r="L914" s="841">
        <v>91973711</v>
      </c>
      <c r="M914" s="840">
        <v>31344676</v>
      </c>
      <c r="N914" s="839">
        <f>Indicadores[[#This Row],[Ventas]]/Indicadores[[#This Row],[Activos totales]]</f>
        <v>0.34080038370964505</v>
      </c>
      <c r="O914" s="837">
        <f>IF(Indicadores[[#This Row],[Ventas]]=0,0,Indicadores[[#This Row],[EBITDA]]/Indicadores[[#This Row],[Ventas]])</f>
        <v>2.2710395857976008E-3</v>
      </c>
      <c r="P914" s="837">
        <f>IF(Indicadores[[#This Row],[Ventas]]=0,0,Indicadores[[#This Row],[UAI]]/Indicadores[[#This Row],[Ventas]])</f>
        <v>-8.0275833765198271E-3</v>
      </c>
      <c r="Q914" s="837">
        <f>IFERROR(Indicadores[[#This Row],[Ventas]]/Indicadores[[#This Row],[Activos totales]],0)</f>
        <v>0.34080038370964505</v>
      </c>
    </row>
    <row r="915" spans="1:17" x14ac:dyDescent="0.3">
      <c r="A915" s="13" t="str">
        <f>MID(Indicadores[[#This Row],[CIIU]],2,4)</f>
        <v>1103</v>
      </c>
      <c r="B915" s="13" t="str">
        <f>Indicadores[[#This Row],[CIIU]]&amp;Indicadores[[#This Row],[Año]]</f>
        <v>C11032018</v>
      </c>
      <c r="C915" s="845" t="s">
        <v>2279</v>
      </c>
      <c r="D915" s="845" t="s">
        <v>2335</v>
      </c>
      <c r="E915" s="843">
        <v>2018</v>
      </c>
      <c r="F915" s="844" t="s">
        <v>2342</v>
      </c>
      <c r="G915" s="842" t="s">
        <v>2343</v>
      </c>
      <c r="H915" s="843" t="s">
        <v>2344</v>
      </c>
      <c r="I915" s="842" t="s">
        <v>2343</v>
      </c>
      <c r="J915" s="840">
        <v>4022976587</v>
      </c>
      <c r="K915" s="840">
        <v>4369050371</v>
      </c>
      <c r="L915" s="841">
        <v>12489245347</v>
      </c>
      <c r="M915" s="840">
        <v>6441513228</v>
      </c>
      <c r="N915" s="839">
        <f>Indicadores[[#This Row],[Ventas]]/Indicadores[[#This Row],[Activos totales]]</f>
        <v>0.51576480796314039</v>
      </c>
      <c r="O915" s="837">
        <f>IF(Indicadores[[#This Row],[Ventas]]=0,0,Indicadores[[#This Row],[EBITDA]]/Indicadores[[#This Row],[Ventas]])</f>
        <v>0.67826459658711735</v>
      </c>
      <c r="P915" s="837">
        <f>IF(Indicadores[[#This Row],[Ventas]]=0,0,Indicadores[[#This Row],[UAI]]/Indicadores[[#This Row],[Ventas]])</f>
        <v>0.62453905543699051</v>
      </c>
      <c r="Q915" s="837">
        <f>IFERROR(Indicadores[[#This Row],[Ventas]]/Indicadores[[#This Row],[Activos totales]],0)</f>
        <v>0.51576480796314039</v>
      </c>
    </row>
    <row r="916" spans="1:17" x14ac:dyDescent="0.3">
      <c r="A916" s="13" t="str">
        <f>MID(Indicadores[[#This Row],[CIIU]],2,4)</f>
        <v>1104</v>
      </c>
      <c r="B916" s="13" t="str">
        <f>Indicadores[[#This Row],[CIIU]]&amp;Indicadores[[#This Row],[Año]]</f>
        <v>C11042018</v>
      </c>
      <c r="C916" s="845" t="s">
        <v>2279</v>
      </c>
      <c r="D916" s="845" t="s">
        <v>2335</v>
      </c>
      <c r="E916" s="843">
        <v>2018</v>
      </c>
      <c r="F916" s="844" t="s">
        <v>2345</v>
      </c>
      <c r="G916" s="842" t="s">
        <v>2346</v>
      </c>
      <c r="H916" s="843" t="s">
        <v>2347</v>
      </c>
      <c r="I916" s="842" t="s">
        <v>2346</v>
      </c>
      <c r="J916" s="840">
        <v>188807099</v>
      </c>
      <c r="K916" s="840">
        <v>715560137</v>
      </c>
      <c r="L916" s="841">
        <v>9366862588</v>
      </c>
      <c r="M916" s="840">
        <v>7143979593</v>
      </c>
      <c r="N916" s="839">
        <f>Indicadores[[#This Row],[Ventas]]/Indicadores[[#This Row],[Activos totales]]</f>
        <v>0.7626864946382621</v>
      </c>
      <c r="O916" s="837">
        <f>IF(Indicadores[[#This Row],[Ventas]]=0,0,Indicadores[[#This Row],[EBITDA]]/Indicadores[[#This Row],[Ventas]])</f>
        <v>0.10016267931408129</v>
      </c>
      <c r="P916" s="837">
        <f>IF(Indicadores[[#This Row],[Ventas]]=0,0,Indicadores[[#This Row],[UAI]]/Indicadores[[#This Row],[Ventas]])</f>
        <v>2.6428840752149109E-2</v>
      </c>
      <c r="Q916" s="837">
        <f>IFERROR(Indicadores[[#This Row],[Ventas]]/Indicadores[[#This Row],[Activos totales]],0)</f>
        <v>0.7626864946382621</v>
      </c>
    </row>
    <row r="917" spans="1:17" x14ac:dyDescent="0.3">
      <c r="A917" s="13" t="str">
        <f>MID(Indicadores[[#This Row],[CIIU]],2,4)</f>
        <v>1200</v>
      </c>
      <c r="B917" s="13" t="str">
        <f>Indicadores[[#This Row],[CIIU]]&amp;Indicadores[[#This Row],[Año]]</f>
        <v>C12002018</v>
      </c>
      <c r="C917" s="845" t="s">
        <v>2279</v>
      </c>
      <c r="D917" s="845" t="s">
        <v>2348</v>
      </c>
      <c r="E917" s="843">
        <v>2018</v>
      </c>
      <c r="F917" s="844" t="s">
        <v>2349</v>
      </c>
      <c r="G917" s="842" t="s">
        <v>2350</v>
      </c>
      <c r="H917" s="843" t="s">
        <v>2351</v>
      </c>
      <c r="I917" s="842" t="s">
        <v>2350</v>
      </c>
      <c r="J917" s="840">
        <v>-4325670</v>
      </c>
      <c r="K917" s="840">
        <v>10609762</v>
      </c>
      <c r="L917" s="841">
        <v>703700640</v>
      </c>
      <c r="M917" s="840">
        <v>655560187</v>
      </c>
      <c r="N917" s="839">
        <f>Indicadores[[#This Row],[Ventas]]/Indicadores[[#This Row],[Activos totales]]</f>
        <v>0.93158958474160258</v>
      </c>
      <c r="O917" s="837">
        <f>IF(Indicadores[[#This Row],[Ventas]]=0,0,Indicadores[[#This Row],[EBITDA]]/Indicadores[[#This Row],[Ventas]])</f>
        <v>1.6184268371379911E-2</v>
      </c>
      <c r="P917" s="837">
        <f>IF(Indicadores[[#This Row],[Ventas]]=0,0,Indicadores[[#This Row],[UAI]]/Indicadores[[#This Row],[Ventas]])</f>
        <v>-6.5984330436466851E-3</v>
      </c>
      <c r="Q917" s="837">
        <f>IFERROR(Indicadores[[#This Row],[Ventas]]/Indicadores[[#This Row],[Activos totales]],0)</f>
        <v>0.93158958474160258</v>
      </c>
    </row>
    <row r="918" spans="1:17" x14ac:dyDescent="0.3">
      <c r="A918" s="13" t="str">
        <f>MID(Indicadores[[#This Row],[CIIU]],2,4)</f>
        <v>1311</v>
      </c>
      <c r="B918" s="13" t="str">
        <f>Indicadores[[#This Row],[CIIU]]&amp;Indicadores[[#This Row],[Año]]</f>
        <v>C13112018</v>
      </c>
      <c r="C918" s="845" t="s">
        <v>2279</v>
      </c>
      <c r="D918" s="845" t="s">
        <v>2352</v>
      </c>
      <c r="E918" s="843">
        <v>2018</v>
      </c>
      <c r="F918" s="844" t="s">
        <v>2353</v>
      </c>
      <c r="G918" s="842" t="s">
        <v>2354</v>
      </c>
      <c r="H918" s="843" t="s">
        <v>2355</v>
      </c>
      <c r="I918" s="842" t="s">
        <v>2354</v>
      </c>
      <c r="J918" s="840">
        <v>55893853</v>
      </c>
      <c r="K918" s="840">
        <v>78372961</v>
      </c>
      <c r="L918" s="841">
        <v>1126348056</v>
      </c>
      <c r="M918" s="840">
        <v>916821402</v>
      </c>
      <c r="N918" s="839">
        <f>Indicadores[[#This Row],[Ventas]]/Indicadores[[#This Row],[Activos totales]]</f>
        <v>0.81397699149577973</v>
      </c>
      <c r="O918" s="837">
        <f>IF(Indicadores[[#This Row],[Ventas]]=0,0,Indicadores[[#This Row],[EBITDA]]/Indicadores[[#This Row],[Ventas]])</f>
        <v>8.5483345861073173E-2</v>
      </c>
      <c r="P918" s="837">
        <f>IF(Indicadores[[#This Row],[Ventas]]=0,0,Indicadores[[#This Row],[UAI]]/Indicadores[[#This Row],[Ventas]])</f>
        <v>6.0964821368775159E-2</v>
      </c>
      <c r="Q918" s="837">
        <f>IFERROR(Indicadores[[#This Row],[Ventas]]/Indicadores[[#This Row],[Activos totales]],0)</f>
        <v>0.81397699149577973</v>
      </c>
    </row>
    <row r="919" spans="1:17" x14ac:dyDescent="0.3">
      <c r="A919" s="13" t="str">
        <f>MID(Indicadores[[#This Row],[CIIU]],2,4)</f>
        <v>1312</v>
      </c>
      <c r="B919" s="13" t="str">
        <f>Indicadores[[#This Row],[CIIU]]&amp;Indicadores[[#This Row],[Año]]</f>
        <v>C13122018</v>
      </c>
      <c r="C919" s="845" t="s">
        <v>2279</v>
      </c>
      <c r="D919" s="845" t="s">
        <v>2352</v>
      </c>
      <c r="E919" s="843">
        <v>2018</v>
      </c>
      <c r="F919" s="844" t="s">
        <v>2356</v>
      </c>
      <c r="G919" s="842" t="s">
        <v>2357</v>
      </c>
      <c r="H919" s="843" t="s">
        <v>2358</v>
      </c>
      <c r="I919" s="842" t="s">
        <v>2357</v>
      </c>
      <c r="J919" s="840">
        <v>9974688</v>
      </c>
      <c r="K919" s="840">
        <v>29915879</v>
      </c>
      <c r="L919" s="841">
        <v>1356071280</v>
      </c>
      <c r="M919" s="840">
        <v>813409985</v>
      </c>
      <c r="N919" s="839">
        <f>Indicadores[[#This Row],[Ventas]]/Indicadores[[#This Row],[Activos totales]]</f>
        <v>0.59982834014447972</v>
      </c>
      <c r="O919" s="837">
        <f>IF(Indicadores[[#This Row],[Ventas]]=0,0,Indicadores[[#This Row],[EBITDA]]/Indicadores[[#This Row],[Ventas]])</f>
        <v>3.6778352309014252E-2</v>
      </c>
      <c r="P919" s="837">
        <f>IF(Indicadores[[#This Row],[Ventas]]=0,0,Indicadores[[#This Row],[UAI]]/Indicadores[[#This Row],[Ventas]])</f>
        <v>1.2262804961756156E-2</v>
      </c>
      <c r="Q919" s="837">
        <f>IFERROR(Indicadores[[#This Row],[Ventas]]/Indicadores[[#This Row],[Activos totales]],0)</f>
        <v>0.59982834014447972</v>
      </c>
    </row>
    <row r="920" spans="1:17" x14ac:dyDescent="0.3">
      <c r="A920" s="13" t="str">
        <f>MID(Indicadores[[#This Row],[CIIU]],2,4)</f>
        <v>1313</v>
      </c>
      <c r="B920" s="13" t="str">
        <f>Indicadores[[#This Row],[CIIU]]&amp;Indicadores[[#This Row],[Año]]</f>
        <v>C13132018</v>
      </c>
      <c r="C920" s="845" t="s">
        <v>2279</v>
      </c>
      <c r="D920" s="845" t="s">
        <v>2352</v>
      </c>
      <c r="E920" s="843">
        <v>2018</v>
      </c>
      <c r="F920" s="844" t="s">
        <v>2359</v>
      </c>
      <c r="G920" s="842" t="s">
        <v>2360</v>
      </c>
      <c r="H920" s="843" t="s">
        <v>2361</v>
      </c>
      <c r="I920" s="842" t="s">
        <v>2360</v>
      </c>
      <c r="J920" s="840">
        <v>16208856</v>
      </c>
      <c r="K920" s="840">
        <v>32372331</v>
      </c>
      <c r="L920" s="841">
        <v>502182291</v>
      </c>
      <c r="M920" s="840">
        <v>437853508</v>
      </c>
      <c r="N920" s="839">
        <f>Indicadores[[#This Row],[Ventas]]/Indicadores[[#This Row],[Activos totales]]</f>
        <v>0.87190153027518846</v>
      </c>
      <c r="O920" s="837">
        <f>IF(Indicadores[[#This Row],[Ventas]]=0,0,Indicadores[[#This Row],[EBITDA]]/Indicadores[[#This Row],[Ventas]])</f>
        <v>7.3934159275937564E-2</v>
      </c>
      <c r="P920" s="837">
        <f>IF(Indicadores[[#This Row],[Ventas]]=0,0,Indicadores[[#This Row],[UAI]]/Indicadores[[#This Row],[Ventas]])</f>
        <v>3.7018901764742741E-2</v>
      </c>
      <c r="Q920" s="837">
        <f>IFERROR(Indicadores[[#This Row],[Ventas]]/Indicadores[[#This Row],[Activos totales]],0)</f>
        <v>0.87190153027518846</v>
      </c>
    </row>
    <row r="921" spans="1:17" x14ac:dyDescent="0.3">
      <c r="A921" s="13" t="str">
        <f>MID(Indicadores[[#This Row],[CIIU]],2,4)</f>
        <v>1392</v>
      </c>
      <c r="B921" s="13" t="str">
        <f>Indicadores[[#This Row],[CIIU]]&amp;Indicadores[[#This Row],[Año]]</f>
        <v>C13922018</v>
      </c>
      <c r="C921" s="845" t="s">
        <v>2279</v>
      </c>
      <c r="D921" s="845" t="s">
        <v>2352</v>
      </c>
      <c r="E921" s="843">
        <v>2018</v>
      </c>
      <c r="F921" s="844" t="s">
        <v>2365</v>
      </c>
      <c r="G921" s="842" t="s">
        <v>2366</v>
      </c>
      <c r="H921" s="843" t="s">
        <v>2367</v>
      </c>
      <c r="I921" s="842" t="s">
        <v>2366</v>
      </c>
      <c r="J921" s="840">
        <v>23943283</v>
      </c>
      <c r="K921" s="840">
        <v>34713288</v>
      </c>
      <c r="L921" s="841">
        <v>718756217</v>
      </c>
      <c r="M921" s="840">
        <v>723153087</v>
      </c>
      <c r="N921" s="839">
        <f>Indicadores[[#This Row],[Ventas]]/Indicadores[[#This Row],[Activos totales]]</f>
        <v>1.0061173314345051</v>
      </c>
      <c r="O921" s="837">
        <f>IF(Indicadores[[#This Row],[Ventas]]=0,0,Indicadores[[#This Row],[EBITDA]]/Indicadores[[#This Row],[Ventas]])</f>
        <v>4.8002682452768126E-2</v>
      </c>
      <c r="P921" s="837">
        <f>IF(Indicadores[[#This Row],[Ventas]]=0,0,Indicadores[[#This Row],[UAI]]/Indicadores[[#This Row],[Ventas]])</f>
        <v>3.310956342498473E-2</v>
      </c>
      <c r="Q921" s="837">
        <f>IFERROR(Indicadores[[#This Row],[Ventas]]/Indicadores[[#This Row],[Activos totales]],0)</f>
        <v>1.0061173314345051</v>
      </c>
    </row>
    <row r="922" spans="1:17" x14ac:dyDescent="0.3">
      <c r="A922" s="13" t="str">
        <f>MID(Indicadores[[#This Row],[CIIU]],2,4)</f>
        <v>1393</v>
      </c>
      <c r="B922" s="13" t="str">
        <f>Indicadores[[#This Row],[CIIU]]&amp;Indicadores[[#This Row],[Año]]</f>
        <v>C13932018</v>
      </c>
      <c r="C922" s="845" t="s">
        <v>2279</v>
      </c>
      <c r="D922" s="845" t="s">
        <v>2352</v>
      </c>
      <c r="E922" s="843">
        <v>2018</v>
      </c>
      <c r="F922" s="844" t="s">
        <v>2368</v>
      </c>
      <c r="G922" s="842" t="s">
        <v>2369</v>
      </c>
      <c r="H922" s="843" t="s">
        <v>2370</v>
      </c>
      <c r="I922" s="842" t="s">
        <v>2369</v>
      </c>
      <c r="J922" s="840">
        <v>-675908</v>
      </c>
      <c r="K922" s="840">
        <v>255754</v>
      </c>
      <c r="L922" s="841">
        <v>36874251</v>
      </c>
      <c r="M922" s="840">
        <v>26997193</v>
      </c>
      <c r="N922" s="839">
        <f>Indicadores[[#This Row],[Ventas]]/Indicadores[[#This Row],[Activos totales]]</f>
        <v>0.73214213896846336</v>
      </c>
      <c r="O922" s="837">
        <f>IF(Indicadores[[#This Row],[Ventas]]=0,0,Indicadores[[#This Row],[EBITDA]]/Indicadores[[#This Row],[Ventas]])</f>
        <v>9.4733552484511999E-3</v>
      </c>
      <c r="P922" s="837">
        <f>IF(Indicadores[[#This Row],[Ventas]]=0,0,Indicadores[[#This Row],[UAI]]/Indicadores[[#This Row],[Ventas]])</f>
        <v>-2.5036232470538697E-2</v>
      </c>
      <c r="Q922" s="837">
        <f>IFERROR(Indicadores[[#This Row],[Ventas]]/Indicadores[[#This Row],[Activos totales]],0)</f>
        <v>0.73214213896846336</v>
      </c>
    </row>
    <row r="923" spans="1:17" x14ac:dyDescent="0.3">
      <c r="A923" s="13" t="str">
        <f>MID(Indicadores[[#This Row],[CIIU]],2,4)</f>
        <v>1394</v>
      </c>
      <c r="B923" s="13" t="str">
        <f>Indicadores[[#This Row],[CIIU]]&amp;Indicadores[[#This Row],[Año]]</f>
        <v>C13942018</v>
      </c>
      <c r="C923" s="845" t="s">
        <v>2279</v>
      </c>
      <c r="D923" s="845" t="s">
        <v>2352</v>
      </c>
      <c r="E923" s="843">
        <v>2018</v>
      </c>
      <c r="F923" s="844" t="s">
        <v>2371</v>
      </c>
      <c r="G923" s="842" t="s">
        <v>2372</v>
      </c>
      <c r="H923" s="843" t="s">
        <v>2373</v>
      </c>
      <c r="I923" s="842" t="s">
        <v>2372</v>
      </c>
      <c r="J923" s="840">
        <v>1726053</v>
      </c>
      <c r="K923" s="840">
        <v>2094503</v>
      </c>
      <c r="L923" s="841">
        <v>39928802</v>
      </c>
      <c r="M923" s="840">
        <v>35503338</v>
      </c>
      <c r="N923" s="839">
        <f>Indicadores[[#This Row],[Ventas]]/Indicadores[[#This Row],[Activos totales]]</f>
        <v>0.88916612123749672</v>
      </c>
      <c r="O923" s="837">
        <f>IF(Indicadores[[#This Row],[Ventas]]=0,0,Indicadores[[#This Row],[EBITDA]]/Indicadores[[#This Row],[Ventas]])</f>
        <v>5.899453735871258E-2</v>
      </c>
      <c r="P923" s="837">
        <f>IF(Indicadores[[#This Row],[Ventas]]=0,0,Indicadores[[#This Row],[UAI]]/Indicadores[[#This Row],[Ventas]])</f>
        <v>4.8616639933969023E-2</v>
      </c>
      <c r="Q923" s="837">
        <f>IFERROR(Indicadores[[#This Row],[Ventas]]/Indicadores[[#This Row],[Activos totales]],0)</f>
        <v>0.88916612123749672</v>
      </c>
    </row>
    <row r="924" spans="1:17" x14ac:dyDescent="0.3">
      <c r="A924" s="13" t="str">
        <f>MID(Indicadores[[#This Row],[CIIU]],2,4)</f>
        <v>1399</v>
      </c>
      <c r="B924" s="13" t="str">
        <f>Indicadores[[#This Row],[CIIU]]&amp;Indicadores[[#This Row],[Año]]</f>
        <v>C13992018</v>
      </c>
      <c r="C924" s="845" t="s">
        <v>2279</v>
      </c>
      <c r="D924" s="845" t="s">
        <v>2352</v>
      </c>
      <c r="E924" s="843">
        <v>2018</v>
      </c>
      <c r="F924" s="844" t="s">
        <v>2374</v>
      </c>
      <c r="G924" s="842" t="s">
        <v>2375</v>
      </c>
      <c r="H924" s="843" t="s">
        <v>2376</v>
      </c>
      <c r="I924" s="842" t="s">
        <v>2375</v>
      </c>
      <c r="J924" s="840">
        <v>47643849</v>
      </c>
      <c r="K924" s="840">
        <v>86656010</v>
      </c>
      <c r="L924" s="841">
        <v>919716087</v>
      </c>
      <c r="M924" s="840">
        <v>777698215</v>
      </c>
      <c r="N924" s="839">
        <f>Indicadores[[#This Row],[Ventas]]/Indicadores[[#This Row],[Activos totales]]</f>
        <v>0.84558509521862912</v>
      </c>
      <c r="O924" s="837">
        <f>IF(Indicadores[[#This Row],[Ventas]]=0,0,Indicadores[[#This Row],[EBITDA]]/Indicadores[[#This Row],[Ventas]])</f>
        <v>0.11142626835012087</v>
      </c>
      <c r="P924" s="837">
        <f>IF(Indicadores[[#This Row],[Ventas]]=0,0,Indicadores[[#This Row],[UAI]]/Indicadores[[#This Row],[Ventas]])</f>
        <v>6.1262644147897394E-2</v>
      </c>
      <c r="Q924" s="837">
        <f>IFERROR(Indicadores[[#This Row],[Ventas]]/Indicadores[[#This Row],[Activos totales]],0)</f>
        <v>0.84558509521862912</v>
      </c>
    </row>
    <row r="925" spans="1:17" x14ac:dyDescent="0.3">
      <c r="A925" s="13" t="str">
        <f>MID(Indicadores[[#This Row],[CIIU]],2,4)</f>
        <v>1410</v>
      </c>
      <c r="B925" s="13" t="str">
        <f>Indicadores[[#This Row],[CIIU]]&amp;Indicadores[[#This Row],[Año]]</f>
        <v>C14102018</v>
      </c>
      <c r="C925" s="845" t="s">
        <v>2279</v>
      </c>
      <c r="D925" s="845" t="s">
        <v>2377</v>
      </c>
      <c r="E925" s="843">
        <v>2018</v>
      </c>
      <c r="F925" s="844" t="s">
        <v>2378</v>
      </c>
      <c r="G925" s="842" t="s">
        <v>2379</v>
      </c>
      <c r="H925" s="843" t="s">
        <v>2380</v>
      </c>
      <c r="I925" s="842" t="s">
        <v>2379</v>
      </c>
      <c r="J925" s="840">
        <v>209638783</v>
      </c>
      <c r="K925" s="840">
        <v>428759238</v>
      </c>
      <c r="L925" s="841">
        <v>8093455629</v>
      </c>
      <c r="M925" s="840">
        <v>8861789063</v>
      </c>
      <c r="N925" s="839">
        <f>Indicadores[[#This Row],[Ventas]]/Indicadores[[#This Row],[Activos totales]]</f>
        <v>1.0949326800837644</v>
      </c>
      <c r="O925" s="837">
        <f>IF(Indicadores[[#This Row],[Ventas]]=0,0,Indicadores[[#This Row],[EBITDA]]/Indicadores[[#This Row],[Ventas]])</f>
        <v>4.8382920756957312E-2</v>
      </c>
      <c r="P925" s="837">
        <f>IF(Indicadores[[#This Row],[Ventas]]=0,0,Indicadores[[#This Row],[UAI]]/Indicadores[[#This Row],[Ventas]])</f>
        <v>2.3656485333789987E-2</v>
      </c>
      <c r="Q925" s="837">
        <f>IFERROR(Indicadores[[#This Row],[Ventas]]/Indicadores[[#This Row],[Activos totales]],0)</f>
        <v>1.0949326800837644</v>
      </c>
    </row>
    <row r="926" spans="1:17" x14ac:dyDescent="0.3">
      <c r="A926" s="13" t="str">
        <f>MID(Indicadores[[#This Row],[CIIU]],2,4)</f>
        <v>1420</v>
      </c>
      <c r="B926" s="13" t="str">
        <f>Indicadores[[#This Row],[CIIU]]&amp;Indicadores[[#This Row],[Año]]</f>
        <v>C14202018</v>
      </c>
      <c r="C926" s="845" t="s">
        <v>2279</v>
      </c>
      <c r="D926" s="845" t="s">
        <v>2377</v>
      </c>
      <c r="E926" s="843">
        <v>2018</v>
      </c>
      <c r="F926" s="844" t="s">
        <v>2381</v>
      </c>
      <c r="G926" s="842" t="s">
        <v>2382</v>
      </c>
      <c r="H926" s="843" t="s">
        <v>2383</v>
      </c>
      <c r="I926" s="842" t="s">
        <v>2382</v>
      </c>
      <c r="J926" s="840">
        <v>2193404</v>
      </c>
      <c r="K926" s="840">
        <v>4484384</v>
      </c>
      <c r="L926" s="841">
        <v>110896904</v>
      </c>
      <c r="M926" s="840">
        <v>120434637</v>
      </c>
      <c r="N926" s="839">
        <f>Indicadores[[#This Row],[Ventas]]/Indicadores[[#This Row],[Activos totales]]</f>
        <v>1.0860054037216404</v>
      </c>
      <c r="O926" s="837">
        <f>IF(Indicadores[[#This Row],[Ventas]]=0,0,Indicadores[[#This Row],[EBITDA]]/Indicadores[[#This Row],[Ventas]])</f>
        <v>3.7235002418780902E-2</v>
      </c>
      <c r="P926" s="837">
        <f>IF(Indicadores[[#This Row],[Ventas]]=0,0,Indicadores[[#This Row],[UAI]]/Indicadores[[#This Row],[Ventas]])</f>
        <v>1.8212401802647521E-2</v>
      </c>
      <c r="Q926" s="837">
        <f>IFERROR(Indicadores[[#This Row],[Ventas]]/Indicadores[[#This Row],[Activos totales]],0)</f>
        <v>1.0860054037216404</v>
      </c>
    </row>
    <row r="927" spans="1:17" x14ac:dyDescent="0.3">
      <c r="A927" s="13" t="str">
        <f>MID(Indicadores[[#This Row],[CIIU]],2,4)</f>
        <v>1430</v>
      </c>
      <c r="B927" s="13" t="str">
        <f>Indicadores[[#This Row],[CIIU]]&amp;Indicadores[[#This Row],[Año]]</f>
        <v>C14302018</v>
      </c>
      <c r="C927" s="845" t="s">
        <v>2279</v>
      </c>
      <c r="D927" s="845" t="s">
        <v>2377</v>
      </c>
      <c r="E927" s="843">
        <v>2018</v>
      </c>
      <c r="F927" s="844" t="s">
        <v>2384</v>
      </c>
      <c r="G927" s="842" t="s">
        <v>2385</v>
      </c>
      <c r="H927" s="843" t="s">
        <v>2386</v>
      </c>
      <c r="I927" s="842" t="s">
        <v>2385</v>
      </c>
      <c r="J927" s="840">
        <v>198134</v>
      </c>
      <c r="K927" s="840">
        <v>198134</v>
      </c>
      <c r="L927" s="841">
        <v>15895168</v>
      </c>
      <c r="M927" s="840">
        <v>17165503</v>
      </c>
      <c r="N927" s="839">
        <f>Indicadores[[#This Row],[Ventas]]/Indicadores[[#This Row],[Activos totales]]</f>
        <v>1.0799195705260869</v>
      </c>
      <c r="O927" s="837">
        <f>IF(Indicadores[[#This Row],[Ventas]]=0,0,Indicadores[[#This Row],[EBITDA]]/Indicadores[[#This Row],[Ventas]])</f>
        <v>1.1542568837044857E-2</v>
      </c>
      <c r="P927" s="837">
        <f>IF(Indicadores[[#This Row],[Ventas]]=0,0,Indicadores[[#This Row],[UAI]]/Indicadores[[#This Row],[Ventas]])</f>
        <v>1.1542568837044857E-2</v>
      </c>
      <c r="Q927" s="837">
        <f>IFERROR(Indicadores[[#This Row],[Ventas]]/Indicadores[[#This Row],[Activos totales]],0)</f>
        <v>1.0799195705260869</v>
      </c>
    </row>
    <row r="928" spans="1:17" x14ac:dyDescent="0.3">
      <c r="A928" s="13" t="str">
        <f>MID(Indicadores[[#This Row],[CIIU]],2,4)</f>
        <v>1511</v>
      </c>
      <c r="B928" s="13" t="str">
        <f>Indicadores[[#This Row],[CIIU]]&amp;Indicadores[[#This Row],[Año]]</f>
        <v>C15112018</v>
      </c>
      <c r="C928" s="845" t="s">
        <v>2279</v>
      </c>
      <c r="D928" s="845" t="s">
        <v>2387</v>
      </c>
      <c r="E928" s="843">
        <v>2018</v>
      </c>
      <c r="F928" s="844" t="s">
        <v>2388</v>
      </c>
      <c r="G928" s="842" t="s">
        <v>2389</v>
      </c>
      <c r="H928" s="843" t="s">
        <v>2390</v>
      </c>
      <c r="I928" s="842" t="s">
        <v>2389</v>
      </c>
      <c r="J928" s="840">
        <v>1657665</v>
      </c>
      <c r="K928" s="840">
        <v>6835805</v>
      </c>
      <c r="L928" s="841">
        <v>403902383</v>
      </c>
      <c r="M928" s="840">
        <v>229369759</v>
      </c>
      <c r="N928" s="839">
        <f>Indicadores[[#This Row],[Ventas]]/Indicadores[[#This Row],[Activos totales]]</f>
        <v>0.56788414392692499</v>
      </c>
      <c r="O928" s="837">
        <f>IF(Indicadores[[#This Row],[Ventas]]=0,0,Indicadores[[#This Row],[EBITDA]]/Indicadores[[#This Row],[Ventas]])</f>
        <v>2.9802555619374393E-2</v>
      </c>
      <c r="P928" s="837">
        <f>IF(Indicadores[[#This Row],[Ventas]]=0,0,Indicadores[[#This Row],[UAI]]/Indicadores[[#This Row],[Ventas]])</f>
        <v>7.2270425152253836E-3</v>
      </c>
      <c r="Q928" s="837">
        <f>IFERROR(Indicadores[[#This Row],[Ventas]]/Indicadores[[#This Row],[Activos totales]],0)</f>
        <v>0.56788414392692499</v>
      </c>
    </row>
    <row r="929" spans="1:17" x14ac:dyDescent="0.3">
      <c r="A929" s="13" t="str">
        <f>MID(Indicadores[[#This Row],[CIIU]],2,4)</f>
        <v>1512</v>
      </c>
      <c r="B929" s="13" t="str">
        <f>Indicadores[[#This Row],[CIIU]]&amp;Indicadores[[#This Row],[Año]]</f>
        <v>C15122018</v>
      </c>
      <c r="C929" s="845" t="s">
        <v>2279</v>
      </c>
      <c r="D929" s="845" t="s">
        <v>2387</v>
      </c>
      <c r="E929" s="843">
        <v>2018</v>
      </c>
      <c r="F929" s="844" t="s">
        <v>2391</v>
      </c>
      <c r="G929" s="842" t="s">
        <v>2392</v>
      </c>
      <c r="H929" s="843" t="s">
        <v>2393</v>
      </c>
      <c r="I929" s="842" t="s">
        <v>2392</v>
      </c>
      <c r="J929" s="840">
        <v>7753948</v>
      </c>
      <c r="K929" s="840">
        <v>10225107</v>
      </c>
      <c r="L929" s="841">
        <v>125945731</v>
      </c>
      <c r="M929" s="840">
        <v>140963884</v>
      </c>
      <c r="N929" s="839">
        <f>Indicadores[[#This Row],[Ventas]]/Indicadores[[#This Row],[Activos totales]]</f>
        <v>1.1192430492145859</v>
      </c>
      <c r="O929" s="837">
        <f>IF(Indicadores[[#This Row],[Ventas]]=0,0,Indicadores[[#This Row],[EBITDA]]/Indicadores[[#This Row],[Ventas]])</f>
        <v>7.2537069140348034E-2</v>
      </c>
      <c r="P929" s="837">
        <f>IF(Indicadores[[#This Row],[Ventas]]=0,0,Indicadores[[#This Row],[UAI]]/Indicadores[[#This Row],[Ventas]])</f>
        <v>5.5006628506348479E-2</v>
      </c>
      <c r="Q929" s="837">
        <f>IFERROR(Indicadores[[#This Row],[Ventas]]/Indicadores[[#This Row],[Activos totales]],0)</f>
        <v>1.1192430492145859</v>
      </c>
    </row>
    <row r="930" spans="1:17" x14ac:dyDescent="0.3">
      <c r="A930" s="13" t="str">
        <f>MID(Indicadores[[#This Row],[CIIU]],2,4)</f>
        <v>1513</v>
      </c>
      <c r="B930" s="13" t="str">
        <f>Indicadores[[#This Row],[CIIU]]&amp;Indicadores[[#This Row],[Año]]</f>
        <v>C15132018</v>
      </c>
      <c r="C930" s="845" t="s">
        <v>2279</v>
      </c>
      <c r="D930" s="845" t="s">
        <v>2387</v>
      </c>
      <c r="E930" s="843">
        <v>2018</v>
      </c>
      <c r="F930" s="844" t="s">
        <v>2394</v>
      </c>
      <c r="G930" s="842" t="s">
        <v>2395</v>
      </c>
      <c r="H930" s="843" t="s">
        <v>2396</v>
      </c>
      <c r="I930" s="842" t="s">
        <v>2395</v>
      </c>
      <c r="J930" s="840">
        <v>12153445</v>
      </c>
      <c r="K930" s="840">
        <v>21973737</v>
      </c>
      <c r="L930" s="841">
        <v>409890233</v>
      </c>
      <c r="M930" s="840">
        <v>493970664</v>
      </c>
      <c r="N930" s="839">
        <f>Indicadores[[#This Row],[Ventas]]/Indicadores[[#This Row],[Activos totales]]</f>
        <v>1.205129140025154</v>
      </c>
      <c r="O930" s="837">
        <f>IF(Indicadores[[#This Row],[Ventas]]=0,0,Indicadores[[#This Row],[EBITDA]]/Indicadores[[#This Row],[Ventas]])</f>
        <v>4.4483890646591112E-2</v>
      </c>
      <c r="P930" s="837">
        <f>IF(Indicadores[[#This Row],[Ventas]]=0,0,Indicadores[[#This Row],[UAI]]/Indicadores[[#This Row],[Ventas]])</f>
        <v>2.4603576458540461E-2</v>
      </c>
      <c r="Q930" s="837">
        <f>IFERROR(Indicadores[[#This Row],[Ventas]]/Indicadores[[#This Row],[Activos totales]],0)</f>
        <v>1.205129140025154</v>
      </c>
    </row>
    <row r="931" spans="1:17" x14ac:dyDescent="0.3">
      <c r="A931" s="13" t="str">
        <f>MID(Indicadores[[#This Row],[CIIU]],2,4)</f>
        <v>1521</v>
      </c>
      <c r="B931" s="13" t="str">
        <f>Indicadores[[#This Row],[CIIU]]&amp;Indicadores[[#This Row],[Año]]</f>
        <v>C15212018</v>
      </c>
      <c r="C931" s="845" t="s">
        <v>2279</v>
      </c>
      <c r="D931" s="845" t="s">
        <v>2387</v>
      </c>
      <c r="E931" s="843">
        <v>2018</v>
      </c>
      <c r="F931" s="844" t="s">
        <v>2397</v>
      </c>
      <c r="G931" s="842" t="s">
        <v>2398</v>
      </c>
      <c r="H931" s="843" t="s">
        <v>2399</v>
      </c>
      <c r="I931" s="842" t="s">
        <v>2398</v>
      </c>
      <c r="J931" s="840">
        <v>36835937</v>
      </c>
      <c r="K931" s="840">
        <v>60702233</v>
      </c>
      <c r="L931" s="841">
        <v>960189644</v>
      </c>
      <c r="M931" s="840">
        <v>880055141</v>
      </c>
      <c r="N931" s="839">
        <f>Indicadores[[#This Row],[Ventas]]/Indicadores[[#This Row],[Activos totales]]</f>
        <v>0.91654304594853553</v>
      </c>
      <c r="O931" s="837">
        <f>IF(Indicadores[[#This Row],[Ventas]]=0,0,Indicadores[[#This Row],[EBITDA]]/Indicadores[[#This Row],[Ventas]])</f>
        <v>6.8975488207505403E-2</v>
      </c>
      <c r="P931" s="837">
        <f>IF(Indicadores[[#This Row],[Ventas]]=0,0,Indicadores[[#This Row],[UAI]]/Indicadores[[#This Row],[Ventas]])</f>
        <v>4.1856396586858871E-2</v>
      </c>
      <c r="Q931" s="837">
        <f>IFERROR(Indicadores[[#This Row],[Ventas]]/Indicadores[[#This Row],[Activos totales]],0)</f>
        <v>0.91654304594853553</v>
      </c>
    </row>
    <row r="932" spans="1:17" x14ac:dyDescent="0.3">
      <c r="A932" s="13" t="str">
        <f>MID(Indicadores[[#This Row],[CIIU]],2,4)</f>
        <v>1522</v>
      </c>
      <c r="B932" s="13" t="str">
        <f>Indicadores[[#This Row],[CIIU]]&amp;Indicadores[[#This Row],[Año]]</f>
        <v>C15222018</v>
      </c>
      <c r="C932" s="845" t="s">
        <v>2279</v>
      </c>
      <c r="D932" s="845" t="s">
        <v>2387</v>
      </c>
      <c r="E932" s="843">
        <v>2018</v>
      </c>
      <c r="F932" s="844" t="s">
        <v>2400</v>
      </c>
      <c r="G932" s="842" t="s">
        <v>2401</v>
      </c>
      <c r="H932" s="843" t="s">
        <v>2402</v>
      </c>
      <c r="I932" s="842" t="s">
        <v>2401</v>
      </c>
      <c r="J932" s="840">
        <v>27964474</v>
      </c>
      <c r="K932" s="840">
        <v>37844858</v>
      </c>
      <c r="L932" s="841">
        <v>382248688</v>
      </c>
      <c r="M932" s="840">
        <v>598908069</v>
      </c>
      <c r="N932" s="839">
        <f>Indicadores[[#This Row],[Ventas]]/Indicadores[[#This Row],[Activos totales]]</f>
        <v>1.5668021573431796</v>
      </c>
      <c r="O932" s="837">
        <f>IF(Indicadores[[#This Row],[Ventas]]=0,0,Indicadores[[#This Row],[EBITDA]]/Indicadores[[#This Row],[Ventas]])</f>
        <v>6.3189761432317582E-2</v>
      </c>
      <c r="P932" s="837">
        <f>IF(Indicadores[[#This Row],[Ventas]]=0,0,Indicadores[[#This Row],[UAI]]/Indicadores[[#This Row],[Ventas]])</f>
        <v>4.6692431522407825E-2</v>
      </c>
      <c r="Q932" s="837">
        <f>IFERROR(Indicadores[[#This Row],[Ventas]]/Indicadores[[#This Row],[Activos totales]],0)</f>
        <v>1.5668021573431796</v>
      </c>
    </row>
    <row r="933" spans="1:17" x14ac:dyDescent="0.3">
      <c r="A933" s="13" t="str">
        <f>MID(Indicadores[[#This Row],[CIIU]],2,4)</f>
        <v>1523</v>
      </c>
      <c r="B933" s="13" t="str">
        <f>Indicadores[[#This Row],[CIIU]]&amp;Indicadores[[#This Row],[Año]]</f>
        <v>C15232018</v>
      </c>
      <c r="C933" s="845" t="s">
        <v>2279</v>
      </c>
      <c r="D933" s="845" t="s">
        <v>2387</v>
      </c>
      <c r="E933" s="843">
        <v>2018</v>
      </c>
      <c r="F933" s="844" t="s">
        <v>2403</v>
      </c>
      <c r="G933" s="842" t="s">
        <v>2404</v>
      </c>
      <c r="H933" s="843" t="s">
        <v>2405</v>
      </c>
      <c r="I933" s="842" t="s">
        <v>2404</v>
      </c>
      <c r="J933" s="840">
        <v>134249</v>
      </c>
      <c r="K933" s="840">
        <v>807239</v>
      </c>
      <c r="L933" s="841">
        <v>19229493</v>
      </c>
      <c r="M933" s="840">
        <v>13209899</v>
      </c>
      <c r="N933" s="839">
        <f>Indicadores[[#This Row],[Ventas]]/Indicadores[[#This Row],[Activos totales]]</f>
        <v>0.68696033743583362</v>
      </c>
      <c r="O933" s="837">
        <f>IF(Indicadores[[#This Row],[Ventas]]=0,0,Indicadores[[#This Row],[EBITDA]]/Indicadores[[#This Row],[Ventas]])</f>
        <v>6.110864284427913E-2</v>
      </c>
      <c r="P933" s="837">
        <f>IF(Indicadores[[#This Row],[Ventas]]=0,0,Indicadores[[#This Row],[UAI]]/Indicadores[[#This Row],[Ventas]])</f>
        <v>1.0162757489667407E-2</v>
      </c>
      <c r="Q933" s="837">
        <f>IFERROR(Indicadores[[#This Row],[Ventas]]/Indicadores[[#This Row],[Activos totales]],0)</f>
        <v>0.68696033743583362</v>
      </c>
    </row>
    <row r="934" spans="1:17" x14ac:dyDescent="0.3">
      <c r="A934" s="13" t="str">
        <f>MID(Indicadores[[#This Row],[CIIU]],2,4)</f>
        <v>1610</v>
      </c>
      <c r="B934" s="13" t="str">
        <f>Indicadores[[#This Row],[CIIU]]&amp;Indicadores[[#This Row],[Año]]</f>
        <v>C16102018</v>
      </c>
      <c r="C934" s="845" t="s">
        <v>2279</v>
      </c>
      <c r="D934" s="845" t="s">
        <v>2406</v>
      </c>
      <c r="E934" s="843">
        <v>2018</v>
      </c>
      <c r="F934" s="844" t="s">
        <v>2407</v>
      </c>
      <c r="G934" s="842" t="s">
        <v>2408</v>
      </c>
      <c r="H934" s="843" t="s">
        <v>2409</v>
      </c>
      <c r="I934" s="842" t="s">
        <v>2408</v>
      </c>
      <c r="J934" s="840">
        <v>1516331</v>
      </c>
      <c r="K934" s="840">
        <v>3867033</v>
      </c>
      <c r="L934" s="841">
        <v>178961641</v>
      </c>
      <c r="M934" s="840">
        <v>71084168</v>
      </c>
      <c r="N934" s="839">
        <f>Indicadores[[#This Row],[Ventas]]/Indicadores[[#This Row],[Activos totales]]</f>
        <v>0.39720337611343204</v>
      </c>
      <c r="O934" s="837">
        <f>IF(Indicadores[[#This Row],[Ventas]]=0,0,Indicadores[[#This Row],[EBITDA]]/Indicadores[[#This Row],[Ventas]])</f>
        <v>5.4400763331716846E-2</v>
      </c>
      <c r="P934" s="837">
        <f>IF(Indicadores[[#This Row],[Ventas]]=0,0,Indicadores[[#This Row],[UAI]]/Indicadores[[#This Row],[Ventas]])</f>
        <v>2.1331486921250874E-2</v>
      </c>
      <c r="Q934" s="837">
        <f>IFERROR(Indicadores[[#This Row],[Ventas]]/Indicadores[[#This Row],[Activos totales]],0)</f>
        <v>0.39720337611343204</v>
      </c>
    </row>
    <row r="935" spans="1:17" x14ac:dyDescent="0.3">
      <c r="A935" s="13" t="str">
        <f>MID(Indicadores[[#This Row],[CIIU]],2,4)</f>
        <v>1620</v>
      </c>
      <c r="B935" s="13" t="str">
        <f>Indicadores[[#This Row],[CIIU]]&amp;Indicadores[[#This Row],[Año]]</f>
        <v>C16202018</v>
      </c>
      <c r="C935" s="845" t="s">
        <v>2279</v>
      </c>
      <c r="D935" s="845" t="s">
        <v>2406</v>
      </c>
      <c r="E935" s="843">
        <v>2018</v>
      </c>
      <c r="F935" s="844" t="s">
        <v>2410</v>
      </c>
      <c r="G935" s="842" t="s">
        <v>2411</v>
      </c>
      <c r="H935" s="843" t="s">
        <v>2412</v>
      </c>
      <c r="I935" s="842" t="s">
        <v>2411</v>
      </c>
      <c r="J935" s="840">
        <v>84857735</v>
      </c>
      <c r="K935" s="840">
        <v>104419538</v>
      </c>
      <c r="L935" s="841">
        <v>1097407891</v>
      </c>
      <c r="M935" s="840">
        <v>537746244</v>
      </c>
      <c r="N935" s="839">
        <f>Indicadores[[#This Row],[Ventas]]/Indicadores[[#This Row],[Activos totales]]</f>
        <v>0.49001492372173949</v>
      </c>
      <c r="O935" s="837">
        <f>IF(Indicadores[[#This Row],[Ventas]]=0,0,Indicadores[[#This Row],[EBITDA]]/Indicadores[[#This Row],[Ventas]])</f>
        <v>0.19417994856324836</v>
      </c>
      <c r="P935" s="837">
        <f>IF(Indicadores[[#This Row],[Ventas]]=0,0,Indicadores[[#This Row],[UAI]]/Indicadores[[#This Row],[Ventas]])</f>
        <v>0.15780256198312007</v>
      </c>
      <c r="Q935" s="837">
        <f>IFERROR(Indicadores[[#This Row],[Ventas]]/Indicadores[[#This Row],[Activos totales]],0)</f>
        <v>0.49001492372173949</v>
      </c>
    </row>
    <row r="936" spans="1:17" x14ac:dyDescent="0.3">
      <c r="A936" s="13" t="str">
        <f>MID(Indicadores[[#This Row],[CIIU]],2,4)</f>
        <v>1630</v>
      </c>
      <c r="B936" s="13" t="str">
        <f>Indicadores[[#This Row],[CIIU]]&amp;Indicadores[[#This Row],[Año]]</f>
        <v>C16302018</v>
      </c>
      <c r="C936" s="845" t="s">
        <v>2279</v>
      </c>
      <c r="D936" s="845" t="s">
        <v>2406</v>
      </c>
      <c r="E936" s="843">
        <v>2018</v>
      </c>
      <c r="F936" s="844" t="s">
        <v>2413</v>
      </c>
      <c r="G936" s="842" t="s">
        <v>2414</v>
      </c>
      <c r="H936" s="843" t="s">
        <v>2415</v>
      </c>
      <c r="I936" s="842" t="s">
        <v>2414</v>
      </c>
      <c r="J936" s="840">
        <v>1108806</v>
      </c>
      <c r="K936" s="840">
        <v>2682120</v>
      </c>
      <c r="L936" s="841">
        <v>109884943</v>
      </c>
      <c r="M936" s="840">
        <v>99948974</v>
      </c>
      <c r="N936" s="839">
        <f>Indicadores[[#This Row],[Ventas]]/Indicadores[[#This Row],[Activos totales]]</f>
        <v>0.90957843059535459</v>
      </c>
      <c r="O936" s="837">
        <f>IF(Indicadores[[#This Row],[Ventas]]=0,0,Indicadores[[#This Row],[EBITDA]]/Indicadores[[#This Row],[Ventas]])</f>
        <v>2.6834892772386036E-2</v>
      </c>
      <c r="P936" s="837">
        <f>IF(Indicadores[[#This Row],[Ventas]]=0,0,Indicadores[[#This Row],[UAI]]/Indicadores[[#This Row],[Ventas]])</f>
        <v>1.1093720681915154E-2</v>
      </c>
      <c r="Q936" s="837">
        <f>IFERROR(Indicadores[[#This Row],[Ventas]]/Indicadores[[#This Row],[Activos totales]],0)</f>
        <v>0.90957843059535459</v>
      </c>
    </row>
    <row r="937" spans="1:17" x14ac:dyDescent="0.3">
      <c r="A937" s="13" t="str">
        <f>MID(Indicadores[[#This Row],[CIIU]],2,4)</f>
        <v>1690</v>
      </c>
      <c r="B937" s="13" t="str">
        <f>Indicadores[[#This Row],[CIIU]]&amp;Indicadores[[#This Row],[Año]]</f>
        <v>C16902018</v>
      </c>
      <c r="C937" s="845" t="s">
        <v>2279</v>
      </c>
      <c r="D937" s="845" t="s">
        <v>2406</v>
      </c>
      <c r="E937" s="843">
        <v>2018</v>
      </c>
      <c r="F937" s="844" t="s">
        <v>2419</v>
      </c>
      <c r="G937" s="842" t="s">
        <v>2420</v>
      </c>
      <c r="H937" s="843" t="s">
        <v>2421</v>
      </c>
      <c r="I937" s="842" t="s">
        <v>2420</v>
      </c>
      <c r="J937" s="840">
        <v>2778964</v>
      </c>
      <c r="K937" s="840">
        <v>2978138</v>
      </c>
      <c r="L937" s="841">
        <v>61919159</v>
      </c>
      <c r="M937" s="840">
        <v>21996969</v>
      </c>
      <c r="N937" s="839">
        <f>Indicadores[[#This Row],[Ventas]]/Indicadores[[#This Row],[Activos totales]]</f>
        <v>0.35525303242571493</v>
      </c>
      <c r="O937" s="837">
        <f>IF(Indicadores[[#This Row],[Ventas]]=0,0,Indicadores[[#This Row],[EBITDA]]/Indicadores[[#This Row],[Ventas]])</f>
        <v>0.13538856194232943</v>
      </c>
      <c r="P937" s="837">
        <f>IF(Indicadores[[#This Row],[Ventas]]=0,0,Indicadores[[#This Row],[UAI]]/Indicadores[[#This Row],[Ventas]])</f>
        <v>0.1263339508274981</v>
      </c>
      <c r="Q937" s="837">
        <f>IFERROR(Indicadores[[#This Row],[Ventas]]/Indicadores[[#This Row],[Activos totales]],0)</f>
        <v>0.35525303242571493</v>
      </c>
    </row>
    <row r="938" spans="1:17" x14ac:dyDescent="0.3">
      <c r="A938" s="13" t="str">
        <f>MID(Indicadores[[#This Row],[CIIU]],2,4)</f>
        <v>1701</v>
      </c>
      <c r="B938" s="13" t="str">
        <f>Indicadores[[#This Row],[CIIU]]&amp;Indicadores[[#This Row],[Año]]</f>
        <v>C17012018</v>
      </c>
      <c r="C938" s="845" t="s">
        <v>2279</v>
      </c>
      <c r="D938" s="845" t="s">
        <v>2422</v>
      </c>
      <c r="E938" s="843">
        <v>2018</v>
      </c>
      <c r="F938" s="844" t="s">
        <v>2423</v>
      </c>
      <c r="G938" s="842" t="s">
        <v>2424</v>
      </c>
      <c r="H938" s="843" t="s">
        <v>2425</v>
      </c>
      <c r="I938" s="842" t="s">
        <v>2424</v>
      </c>
      <c r="J938" s="840">
        <v>55510457</v>
      </c>
      <c r="K938" s="840">
        <v>90803060</v>
      </c>
      <c r="L938" s="841">
        <v>1248180006</v>
      </c>
      <c r="M938" s="840">
        <v>923766701</v>
      </c>
      <c r="N938" s="839">
        <f>Indicadores[[#This Row],[Ventas]]/Indicadores[[#This Row],[Activos totales]]</f>
        <v>0.740090929641121</v>
      </c>
      <c r="O938" s="837">
        <f>IF(Indicadores[[#This Row],[Ventas]]=0,0,Indicadores[[#This Row],[EBITDA]]/Indicadores[[#This Row],[Ventas]])</f>
        <v>9.8296528659999841E-2</v>
      </c>
      <c r="P938" s="837">
        <f>IF(Indicadores[[#This Row],[Ventas]]=0,0,Indicadores[[#This Row],[UAI]]/Indicadores[[#This Row],[Ventas]])</f>
        <v>6.0091424533822851E-2</v>
      </c>
      <c r="Q938" s="837">
        <f>IFERROR(Indicadores[[#This Row],[Ventas]]/Indicadores[[#This Row],[Activos totales]],0)</f>
        <v>0.740090929641121</v>
      </c>
    </row>
    <row r="939" spans="1:17" x14ac:dyDescent="0.3">
      <c r="A939" s="13" t="str">
        <f>MID(Indicadores[[#This Row],[CIIU]],2,4)</f>
        <v>1702</v>
      </c>
      <c r="B939" s="13" t="str">
        <f>Indicadores[[#This Row],[CIIU]]&amp;Indicadores[[#This Row],[Año]]</f>
        <v>C17022018</v>
      </c>
      <c r="C939" s="845" t="s">
        <v>2279</v>
      </c>
      <c r="D939" s="845" t="s">
        <v>2422</v>
      </c>
      <c r="E939" s="843">
        <v>2018</v>
      </c>
      <c r="F939" s="844" t="s">
        <v>2426</v>
      </c>
      <c r="G939" s="842" t="s">
        <v>2427</v>
      </c>
      <c r="H939" s="843" t="s">
        <v>2428</v>
      </c>
      <c r="I939" s="842" t="s">
        <v>2429</v>
      </c>
      <c r="J939" s="840">
        <v>176235437</v>
      </c>
      <c r="K939" s="840">
        <v>249839164</v>
      </c>
      <c r="L939" s="841">
        <v>3199643750</v>
      </c>
      <c r="M939" s="840">
        <v>2368789756</v>
      </c>
      <c r="N939" s="839">
        <f>Indicadores[[#This Row],[Ventas]]/Indicadores[[#This Row],[Activos totales]]</f>
        <v>0.74032921821374642</v>
      </c>
      <c r="O939" s="837">
        <f>IF(Indicadores[[#This Row],[Ventas]]=0,0,Indicadores[[#This Row],[EBITDA]]/Indicadores[[#This Row],[Ventas]])</f>
        <v>0.10547122781461404</v>
      </c>
      <c r="P939" s="837">
        <f>IF(Indicadores[[#This Row],[Ventas]]=0,0,Indicadores[[#This Row],[UAI]]/Indicadores[[#This Row],[Ventas]])</f>
        <v>7.4398935808298899E-2</v>
      </c>
      <c r="Q939" s="837">
        <f>IFERROR(Indicadores[[#This Row],[Ventas]]/Indicadores[[#This Row],[Activos totales]],0)</f>
        <v>0.74032921821374642</v>
      </c>
    </row>
    <row r="940" spans="1:17" x14ac:dyDescent="0.3">
      <c r="A940" s="13" t="str">
        <f>MID(Indicadores[[#This Row],[CIIU]],2,4)</f>
        <v>1709</v>
      </c>
      <c r="B940" s="13" t="str">
        <f>Indicadores[[#This Row],[CIIU]]&amp;Indicadores[[#This Row],[Año]]</f>
        <v>C17092018</v>
      </c>
      <c r="C940" s="845" t="s">
        <v>2279</v>
      </c>
      <c r="D940" s="845" t="s">
        <v>2422</v>
      </c>
      <c r="E940" s="843">
        <v>2018</v>
      </c>
      <c r="F940" s="844" t="s">
        <v>2430</v>
      </c>
      <c r="G940" s="842" t="s">
        <v>2431</v>
      </c>
      <c r="H940" s="843" t="s">
        <v>2432</v>
      </c>
      <c r="I940" s="842" t="s">
        <v>2431</v>
      </c>
      <c r="J940" s="840">
        <v>386570827</v>
      </c>
      <c r="K940" s="840">
        <v>528211154</v>
      </c>
      <c r="L940" s="841">
        <v>5393757567</v>
      </c>
      <c r="M940" s="840">
        <v>4873732360</v>
      </c>
      <c r="N940" s="839">
        <f>Indicadores[[#This Row],[Ventas]]/Indicadores[[#This Row],[Activos totales]]</f>
        <v>0.90358758239680448</v>
      </c>
      <c r="O940" s="837">
        <f>IF(Indicadores[[#This Row],[Ventas]]=0,0,Indicadores[[#This Row],[EBITDA]]/Indicadores[[#This Row],[Ventas]])</f>
        <v>0.10837918764993489</v>
      </c>
      <c r="P940" s="837">
        <f>IF(Indicadores[[#This Row],[Ventas]]=0,0,Indicadores[[#This Row],[UAI]]/Indicadores[[#This Row],[Ventas]])</f>
        <v>7.9317204648471917E-2</v>
      </c>
      <c r="Q940" s="837">
        <f>IFERROR(Indicadores[[#This Row],[Ventas]]/Indicadores[[#This Row],[Activos totales]],0)</f>
        <v>0.90358758239680448</v>
      </c>
    </row>
    <row r="941" spans="1:17" x14ac:dyDescent="0.3">
      <c r="A941" s="13" t="str">
        <f>MID(Indicadores[[#This Row],[CIIU]],2,4)</f>
        <v>1811</v>
      </c>
      <c r="B941" s="13" t="str">
        <f>Indicadores[[#This Row],[CIIU]]&amp;Indicadores[[#This Row],[Año]]</f>
        <v>C18112018</v>
      </c>
      <c r="C941" s="845" t="s">
        <v>2279</v>
      </c>
      <c r="D941" s="845" t="s">
        <v>2433</v>
      </c>
      <c r="E941" s="843">
        <v>2018</v>
      </c>
      <c r="F941" s="844" t="s">
        <v>2434</v>
      </c>
      <c r="G941" s="842" t="s">
        <v>2435</v>
      </c>
      <c r="H941" s="843" t="s">
        <v>2436</v>
      </c>
      <c r="I941" s="842" t="s">
        <v>2435</v>
      </c>
      <c r="J941" s="840">
        <v>150779057</v>
      </c>
      <c r="K941" s="840">
        <v>234945016</v>
      </c>
      <c r="L941" s="841">
        <v>2635021889</v>
      </c>
      <c r="M941" s="840">
        <v>2155499637</v>
      </c>
      <c r="N941" s="839">
        <f>Indicadores[[#This Row],[Ventas]]/Indicadores[[#This Row],[Activos totales]]</f>
        <v>0.81801963239782405</v>
      </c>
      <c r="O941" s="837">
        <f>IF(Indicadores[[#This Row],[Ventas]]=0,0,Indicadores[[#This Row],[EBITDA]]/Indicadores[[#This Row],[Ventas]])</f>
        <v>0.10899793809615009</v>
      </c>
      <c r="P941" s="837">
        <f>IF(Indicadores[[#This Row],[Ventas]]=0,0,Indicadores[[#This Row],[UAI]]/Indicadores[[#This Row],[Ventas]])</f>
        <v>6.9950861698985289E-2</v>
      </c>
      <c r="Q941" s="837">
        <f>IFERROR(Indicadores[[#This Row],[Ventas]]/Indicadores[[#This Row],[Activos totales]],0)</f>
        <v>0.81801963239782405</v>
      </c>
    </row>
    <row r="942" spans="1:17" x14ac:dyDescent="0.3">
      <c r="A942" s="13" t="str">
        <f>MID(Indicadores[[#This Row],[CIIU]],2,4)</f>
        <v>1812</v>
      </c>
      <c r="B942" s="13" t="str">
        <f>Indicadores[[#This Row],[CIIU]]&amp;Indicadores[[#This Row],[Año]]</f>
        <v>C18122018</v>
      </c>
      <c r="C942" s="845" t="s">
        <v>2279</v>
      </c>
      <c r="D942" s="845" t="s">
        <v>2433</v>
      </c>
      <c r="E942" s="843">
        <v>2018</v>
      </c>
      <c r="F942" s="844" t="s">
        <v>2437</v>
      </c>
      <c r="G942" s="842" t="s">
        <v>2438</v>
      </c>
      <c r="H942" s="843" t="s">
        <v>2439</v>
      </c>
      <c r="I942" s="842" t="s">
        <v>2438</v>
      </c>
      <c r="J942" s="840">
        <v>6890271</v>
      </c>
      <c r="K942" s="840">
        <v>9688431</v>
      </c>
      <c r="L942" s="841">
        <v>109769084</v>
      </c>
      <c r="M942" s="840">
        <v>111337703</v>
      </c>
      <c r="N942" s="839">
        <f>Indicadores[[#This Row],[Ventas]]/Indicadores[[#This Row],[Activos totales]]</f>
        <v>1.0142901711742442</v>
      </c>
      <c r="O942" s="837">
        <f>IF(Indicadores[[#This Row],[Ventas]]=0,0,Indicadores[[#This Row],[EBITDA]]/Indicadores[[#This Row],[Ventas]])</f>
        <v>8.7018419986623935E-2</v>
      </c>
      <c r="P942" s="837">
        <f>IF(Indicadores[[#This Row],[Ventas]]=0,0,Indicadores[[#This Row],[UAI]]/Indicadores[[#This Row],[Ventas]])</f>
        <v>6.1886232734655933E-2</v>
      </c>
      <c r="Q942" s="837">
        <f>IFERROR(Indicadores[[#This Row],[Ventas]]/Indicadores[[#This Row],[Activos totales]],0)</f>
        <v>1.0142901711742442</v>
      </c>
    </row>
    <row r="943" spans="1:17" x14ac:dyDescent="0.3">
      <c r="A943" s="13" t="str">
        <f>MID(Indicadores[[#This Row],[CIIU]],2,4)</f>
        <v>1820</v>
      </c>
      <c r="B943" s="13" t="str">
        <f>Indicadores[[#This Row],[CIIU]]&amp;Indicadores[[#This Row],[Año]]</f>
        <v>C18202018</v>
      </c>
      <c r="C943" s="845" t="s">
        <v>2279</v>
      </c>
      <c r="D943" s="845" t="s">
        <v>2433</v>
      </c>
      <c r="E943" s="843">
        <v>2018</v>
      </c>
      <c r="F943" s="844" t="s">
        <v>2440</v>
      </c>
      <c r="G943" s="838" t="s">
        <v>2441</v>
      </c>
      <c r="H943" s="843" t="s">
        <v>2442</v>
      </c>
      <c r="I943" s="842" t="s">
        <v>2443</v>
      </c>
      <c r="J943" s="840">
        <v>2320054</v>
      </c>
      <c r="K943" s="840">
        <v>3143156</v>
      </c>
      <c r="L943" s="841">
        <v>19539095</v>
      </c>
      <c r="M943" s="840">
        <v>19043721</v>
      </c>
      <c r="N943" s="839">
        <f>Indicadores[[#This Row],[Ventas]]/Indicadores[[#This Row],[Activos totales]]</f>
        <v>0.9746470345735051</v>
      </c>
      <c r="O943" s="837">
        <f>IF(Indicadores[[#This Row],[Ventas]]=0,0,Indicadores[[#This Row],[EBITDA]]/Indicadores[[#This Row],[Ventas]])</f>
        <v>0.16504946696078987</v>
      </c>
      <c r="P943" s="837">
        <f>IF(Indicadores[[#This Row],[Ventas]]=0,0,Indicadores[[#This Row],[UAI]]/Indicadores[[#This Row],[Ventas]])</f>
        <v>0.12182776674789554</v>
      </c>
      <c r="Q943" s="837">
        <f>IFERROR(Indicadores[[#This Row],[Ventas]]/Indicadores[[#This Row],[Activos totales]],0)</f>
        <v>0.9746470345735051</v>
      </c>
    </row>
    <row r="944" spans="1:17" x14ac:dyDescent="0.3">
      <c r="A944" s="13" t="str">
        <f>MID(Indicadores[[#This Row],[CIIU]],2,4)</f>
        <v>1910</v>
      </c>
      <c r="B944" s="13" t="str">
        <f>Indicadores[[#This Row],[CIIU]]&amp;Indicadores[[#This Row],[Año]]</f>
        <v>C19102018</v>
      </c>
      <c r="C944" s="845" t="s">
        <v>2279</v>
      </c>
      <c r="D944" s="845" t="s">
        <v>2444</v>
      </c>
      <c r="E944" s="843">
        <v>2018</v>
      </c>
      <c r="F944" s="844" t="s">
        <v>2445</v>
      </c>
      <c r="G944" s="842" t="s">
        <v>2446</v>
      </c>
      <c r="H944" s="843" t="s">
        <v>2447</v>
      </c>
      <c r="I944" s="842" t="s">
        <v>2446</v>
      </c>
      <c r="J944" s="840">
        <v>159919901</v>
      </c>
      <c r="K944" s="840">
        <v>173551197</v>
      </c>
      <c r="L944" s="841">
        <v>806765418</v>
      </c>
      <c r="M944" s="840">
        <v>1346715463</v>
      </c>
      <c r="N944" s="839">
        <f>Indicadores[[#This Row],[Ventas]]/Indicadores[[#This Row],[Activos totales]]</f>
        <v>1.6692776276139292</v>
      </c>
      <c r="O944" s="837">
        <f>IF(Indicadores[[#This Row],[Ventas]]=0,0,Indicadores[[#This Row],[EBITDA]]/Indicadores[[#This Row],[Ventas]])</f>
        <v>0.12886998164659821</v>
      </c>
      <c r="P944" s="837">
        <f>IF(Indicadores[[#This Row],[Ventas]]=0,0,Indicadores[[#This Row],[UAI]]/Indicadores[[#This Row],[Ventas]])</f>
        <v>0.11874809890706661</v>
      </c>
      <c r="Q944" s="837">
        <f>IFERROR(Indicadores[[#This Row],[Ventas]]/Indicadores[[#This Row],[Activos totales]],0)</f>
        <v>1.6692776276139292</v>
      </c>
    </row>
    <row r="945" spans="1:17" x14ac:dyDescent="0.3">
      <c r="A945" s="13" t="str">
        <f>MID(Indicadores[[#This Row],[CIIU]],2,4)</f>
        <v>1921</v>
      </c>
      <c r="B945" s="13" t="str">
        <f>Indicadores[[#This Row],[CIIU]]&amp;Indicadores[[#This Row],[Año]]</f>
        <v>C19212018</v>
      </c>
      <c r="C945" s="845" t="s">
        <v>2279</v>
      </c>
      <c r="D945" s="845" t="s">
        <v>2444</v>
      </c>
      <c r="E945" s="843">
        <v>2018</v>
      </c>
      <c r="F945" s="844" t="s">
        <v>2448</v>
      </c>
      <c r="G945" s="842" t="s">
        <v>2449</v>
      </c>
      <c r="H945" s="843" t="s">
        <v>2450</v>
      </c>
      <c r="I945" s="842" t="s">
        <v>2449</v>
      </c>
      <c r="J945" s="840">
        <v>-1573271521</v>
      </c>
      <c r="K945" s="840">
        <v>-813576687</v>
      </c>
      <c r="L945" s="841">
        <v>28686803965</v>
      </c>
      <c r="M945" s="840">
        <v>13917540430</v>
      </c>
      <c r="N945" s="839">
        <f>Indicadores[[#This Row],[Ventas]]/Indicadores[[#This Row],[Activos totales]]</f>
        <v>0.48515479266984285</v>
      </c>
      <c r="O945" s="837">
        <f>IF(Indicadores[[#This Row],[Ventas]]=0,0,Indicadores[[#This Row],[EBITDA]]/Indicadores[[#This Row],[Ventas]])</f>
        <v>-5.8456930022368903E-2</v>
      </c>
      <c r="P945" s="837">
        <f>IF(Indicadores[[#This Row],[Ventas]]=0,0,Indicadores[[#This Row],[UAI]]/Indicadores[[#This Row],[Ventas]])</f>
        <v>-0.11304235320263409</v>
      </c>
      <c r="Q945" s="837">
        <f>IFERROR(Indicadores[[#This Row],[Ventas]]/Indicadores[[#This Row],[Activos totales]],0)</f>
        <v>0.48515479266984285</v>
      </c>
    </row>
    <row r="946" spans="1:17" x14ac:dyDescent="0.3">
      <c r="A946" s="13" t="str">
        <f>MID(Indicadores[[#This Row],[CIIU]],2,4)</f>
        <v>2011</v>
      </c>
      <c r="B946" s="13" t="str">
        <f>Indicadores[[#This Row],[CIIU]]&amp;Indicadores[[#This Row],[Año]]</f>
        <v>C20112018</v>
      </c>
      <c r="C946" s="845" t="s">
        <v>2279</v>
      </c>
      <c r="D946" s="845" t="s">
        <v>2451</v>
      </c>
      <c r="E946" s="843">
        <v>2018</v>
      </c>
      <c r="F946" s="844" t="s">
        <v>2452</v>
      </c>
      <c r="G946" s="842" t="s">
        <v>2453</v>
      </c>
      <c r="H946" s="843" t="s">
        <v>2454</v>
      </c>
      <c r="I946" s="842" t="s">
        <v>2453</v>
      </c>
      <c r="J946" s="840">
        <v>212611808</v>
      </c>
      <c r="K946" s="840">
        <v>374845741</v>
      </c>
      <c r="L946" s="841">
        <v>3370327737</v>
      </c>
      <c r="M946" s="840">
        <v>2582523575</v>
      </c>
      <c r="N946" s="839">
        <f>Indicadores[[#This Row],[Ventas]]/Indicadores[[#This Row],[Activos totales]]</f>
        <v>0.7662529512037185</v>
      </c>
      <c r="O946" s="837">
        <f>IF(Indicadores[[#This Row],[Ventas]]=0,0,Indicadores[[#This Row],[EBITDA]]/Indicadores[[#This Row],[Ventas]])</f>
        <v>0.14514707421402726</v>
      </c>
      <c r="P946" s="837">
        <f>IF(Indicadores[[#This Row],[Ventas]]=0,0,Indicadores[[#This Row],[UAI]]/Indicadores[[#This Row],[Ventas]])</f>
        <v>8.232715087605734E-2</v>
      </c>
      <c r="Q946" s="837">
        <f>IFERROR(Indicadores[[#This Row],[Ventas]]/Indicadores[[#This Row],[Activos totales]],0)</f>
        <v>0.7662529512037185</v>
      </c>
    </row>
    <row r="947" spans="1:17" x14ac:dyDescent="0.3">
      <c r="A947" s="13" t="str">
        <f>MID(Indicadores[[#This Row],[CIIU]],2,4)</f>
        <v>2012</v>
      </c>
      <c r="B947" s="13" t="str">
        <f>Indicadores[[#This Row],[CIIU]]&amp;Indicadores[[#This Row],[Año]]</f>
        <v>C20122018</v>
      </c>
      <c r="C947" s="845" t="s">
        <v>2279</v>
      </c>
      <c r="D947" s="845" t="s">
        <v>2451</v>
      </c>
      <c r="E947" s="843">
        <v>2018</v>
      </c>
      <c r="F947" s="844" t="s">
        <v>2455</v>
      </c>
      <c r="G947" s="842" t="s">
        <v>2456</v>
      </c>
      <c r="H947" s="843" t="s">
        <v>2457</v>
      </c>
      <c r="I947" s="842" t="s">
        <v>2456</v>
      </c>
      <c r="J947" s="840">
        <v>-86731106</v>
      </c>
      <c r="K947" s="840">
        <v>10536952</v>
      </c>
      <c r="L947" s="841">
        <v>3605739151</v>
      </c>
      <c r="M947" s="840">
        <v>3490816120</v>
      </c>
      <c r="N947" s="839">
        <f>Indicadores[[#This Row],[Ventas]]/Indicadores[[#This Row],[Activos totales]]</f>
        <v>0.96812774685375458</v>
      </c>
      <c r="O947" s="837">
        <f>IF(Indicadores[[#This Row],[Ventas]]=0,0,Indicadores[[#This Row],[EBITDA]]/Indicadores[[#This Row],[Ventas]])</f>
        <v>3.0184780973224108E-3</v>
      </c>
      <c r="P947" s="837">
        <f>IF(Indicadores[[#This Row],[Ventas]]=0,0,Indicadores[[#This Row],[UAI]]/Indicadores[[#This Row],[Ventas]])</f>
        <v>-2.4845509765779355E-2</v>
      </c>
      <c r="Q947" s="837">
        <f>IFERROR(Indicadores[[#This Row],[Ventas]]/Indicadores[[#This Row],[Activos totales]],0)</f>
        <v>0.96812774685375458</v>
      </c>
    </row>
    <row r="948" spans="1:17" x14ac:dyDescent="0.3">
      <c r="A948" s="13" t="str">
        <f>MID(Indicadores[[#This Row],[CIIU]],2,4)</f>
        <v>2013</v>
      </c>
      <c r="B948" s="13" t="str">
        <f>Indicadores[[#This Row],[CIIU]]&amp;Indicadores[[#This Row],[Año]]</f>
        <v>C20132018</v>
      </c>
      <c r="C948" s="845" t="s">
        <v>2279</v>
      </c>
      <c r="D948" s="845" t="s">
        <v>2451</v>
      </c>
      <c r="E948" s="843">
        <v>2018</v>
      </c>
      <c r="F948" s="844" t="s">
        <v>2458</v>
      </c>
      <c r="G948" s="842" t="s">
        <v>2459</v>
      </c>
      <c r="H948" s="843" t="s">
        <v>2460</v>
      </c>
      <c r="I948" s="842" t="s">
        <v>2459</v>
      </c>
      <c r="J948" s="840">
        <v>436401059</v>
      </c>
      <c r="K948" s="840">
        <v>570675425</v>
      </c>
      <c r="L948" s="841">
        <v>4943250810</v>
      </c>
      <c r="M948" s="840">
        <v>6677729873</v>
      </c>
      <c r="N948" s="839">
        <f>Indicadores[[#This Row],[Ventas]]/Indicadores[[#This Row],[Activos totales]]</f>
        <v>1.3508782235955372</v>
      </c>
      <c r="O948" s="837">
        <f>IF(Indicadores[[#This Row],[Ventas]]=0,0,Indicadores[[#This Row],[EBITDA]]/Indicadores[[#This Row],[Ventas]])</f>
        <v>8.545949534547756E-2</v>
      </c>
      <c r="P948" s="837">
        <f>IF(Indicadores[[#This Row],[Ventas]]=0,0,Indicadores[[#This Row],[UAI]]/Indicadores[[#This Row],[Ventas]])</f>
        <v>6.5351708933974129E-2</v>
      </c>
      <c r="Q948" s="837">
        <f>IFERROR(Indicadores[[#This Row],[Ventas]]/Indicadores[[#This Row],[Activos totales]],0)</f>
        <v>1.3508782235955372</v>
      </c>
    </row>
    <row r="949" spans="1:17" x14ac:dyDescent="0.3">
      <c r="A949" s="13" t="str">
        <f>MID(Indicadores[[#This Row],[CIIU]],2,4)</f>
        <v>2014</v>
      </c>
      <c r="B949" s="13" t="str">
        <f>Indicadores[[#This Row],[CIIU]]&amp;Indicadores[[#This Row],[Año]]</f>
        <v>C20142018</v>
      </c>
      <c r="C949" s="845" t="s">
        <v>2279</v>
      </c>
      <c r="D949" s="845" t="s">
        <v>2451</v>
      </c>
      <c r="E949" s="843">
        <v>2018</v>
      </c>
      <c r="F949" s="844" t="s">
        <v>2461</v>
      </c>
      <c r="G949" s="842" t="s">
        <v>2462</v>
      </c>
      <c r="H949" s="843" t="s">
        <v>2463</v>
      </c>
      <c r="I949" s="842" t="s">
        <v>2462</v>
      </c>
      <c r="J949" s="840">
        <v>3294971</v>
      </c>
      <c r="K949" s="840">
        <v>4444643</v>
      </c>
      <c r="L949" s="841">
        <v>55503575</v>
      </c>
      <c r="M949" s="840">
        <v>53709594</v>
      </c>
      <c r="N949" s="839">
        <f>Indicadores[[#This Row],[Ventas]]/Indicadores[[#This Row],[Activos totales]]</f>
        <v>0.96767810001427834</v>
      </c>
      <c r="O949" s="837">
        <f>IF(Indicadores[[#This Row],[Ventas]]=0,0,Indicadores[[#This Row],[EBITDA]]/Indicadores[[#This Row],[Ventas]])</f>
        <v>8.2753241441370792E-2</v>
      </c>
      <c r="P949" s="837">
        <f>IF(Indicadores[[#This Row],[Ventas]]=0,0,Indicadores[[#This Row],[UAI]]/Indicadores[[#This Row],[Ventas]])</f>
        <v>6.1347903691098465E-2</v>
      </c>
      <c r="Q949" s="837">
        <f>IFERROR(Indicadores[[#This Row],[Ventas]]/Indicadores[[#This Row],[Activos totales]],0)</f>
        <v>0.96767810001427834</v>
      </c>
    </row>
    <row r="950" spans="1:17" x14ac:dyDescent="0.3">
      <c r="A950" s="13" t="str">
        <f>MID(Indicadores[[#This Row],[CIIU]],2,4)</f>
        <v>2021</v>
      </c>
      <c r="B950" s="13" t="str">
        <f>Indicadores[[#This Row],[CIIU]]&amp;Indicadores[[#This Row],[Año]]</f>
        <v>C20212018</v>
      </c>
      <c r="C950" s="845" t="s">
        <v>2279</v>
      </c>
      <c r="D950" s="845" t="s">
        <v>2451</v>
      </c>
      <c r="E950" s="843">
        <v>2018</v>
      </c>
      <c r="F950" s="844" t="s">
        <v>2464</v>
      </c>
      <c r="G950" s="842" t="s">
        <v>2465</v>
      </c>
      <c r="H950" s="843" t="s">
        <v>2466</v>
      </c>
      <c r="I950" s="842" t="s">
        <v>2465</v>
      </c>
      <c r="J950" s="840">
        <v>90069790</v>
      </c>
      <c r="K950" s="840">
        <v>112066454</v>
      </c>
      <c r="L950" s="841">
        <v>2001309173</v>
      </c>
      <c r="M950" s="840">
        <v>1507567954</v>
      </c>
      <c r="N950" s="839">
        <f>Indicadores[[#This Row],[Ventas]]/Indicadores[[#This Row],[Activos totales]]</f>
        <v>0.75329088295744295</v>
      </c>
      <c r="O950" s="837">
        <f>IF(Indicadores[[#This Row],[Ventas]]=0,0,Indicadores[[#This Row],[EBITDA]]/Indicadores[[#This Row],[Ventas]])</f>
        <v>7.4335922107296268E-2</v>
      </c>
      <c r="P950" s="837">
        <f>IF(Indicadores[[#This Row],[Ventas]]=0,0,Indicadores[[#This Row],[UAI]]/Indicadores[[#This Row],[Ventas]])</f>
        <v>5.9745094581653599E-2</v>
      </c>
      <c r="Q950" s="837">
        <f>IFERROR(Indicadores[[#This Row],[Ventas]]/Indicadores[[#This Row],[Activos totales]],0)</f>
        <v>0.75329088295744295</v>
      </c>
    </row>
    <row r="951" spans="1:17" x14ac:dyDescent="0.3">
      <c r="A951" s="13" t="str">
        <f>MID(Indicadores[[#This Row],[CIIU]],2,4)</f>
        <v>2022</v>
      </c>
      <c r="B951" s="13" t="str">
        <f>Indicadores[[#This Row],[CIIU]]&amp;Indicadores[[#This Row],[Año]]</f>
        <v>C20222018</v>
      </c>
      <c r="C951" s="845" t="s">
        <v>2279</v>
      </c>
      <c r="D951" s="845" t="s">
        <v>2451</v>
      </c>
      <c r="E951" s="843">
        <v>2018</v>
      </c>
      <c r="F951" s="844" t="s">
        <v>2467</v>
      </c>
      <c r="G951" s="842" t="s">
        <v>2468</v>
      </c>
      <c r="H951" s="843" t="s">
        <v>2469</v>
      </c>
      <c r="I951" s="842" t="s">
        <v>2468</v>
      </c>
      <c r="J951" s="840">
        <v>26818459</v>
      </c>
      <c r="K951" s="840">
        <v>45824815</v>
      </c>
      <c r="L951" s="841">
        <v>1399321217</v>
      </c>
      <c r="M951" s="840">
        <v>1234726637</v>
      </c>
      <c r="N951" s="839">
        <f>Indicadores[[#This Row],[Ventas]]/Indicadores[[#This Row],[Activos totales]]</f>
        <v>0.88237541316433854</v>
      </c>
      <c r="O951" s="837">
        <f>IF(Indicadores[[#This Row],[Ventas]]=0,0,Indicadores[[#This Row],[EBITDA]]/Indicadores[[#This Row],[Ventas]])</f>
        <v>3.711332826781804E-2</v>
      </c>
      <c r="P951" s="837">
        <f>IF(Indicadores[[#This Row],[Ventas]]=0,0,Indicadores[[#This Row],[UAI]]/Indicadores[[#This Row],[Ventas]])</f>
        <v>2.1720159099475229E-2</v>
      </c>
      <c r="Q951" s="837">
        <f>IFERROR(Indicadores[[#This Row],[Ventas]]/Indicadores[[#This Row],[Activos totales]],0)</f>
        <v>0.88237541316433854</v>
      </c>
    </row>
    <row r="952" spans="1:17" x14ac:dyDescent="0.3">
      <c r="A952" s="13" t="str">
        <f>MID(Indicadores[[#This Row],[CIIU]],2,4)</f>
        <v>2023</v>
      </c>
      <c r="B952" s="13" t="str">
        <f>Indicadores[[#This Row],[CIIU]]&amp;Indicadores[[#This Row],[Año]]</f>
        <v>C20232018</v>
      </c>
      <c r="C952" s="845" t="s">
        <v>2279</v>
      </c>
      <c r="D952" s="845" t="s">
        <v>2451</v>
      </c>
      <c r="E952" s="843">
        <v>2018</v>
      </c>
      <c r="F952" s="844" t="s">
        <v>2470</v>
      </c>
      <c r="G952" s="842" t="s">
        <v>2471</v>
      </c>
      <c r="H952" s="843" t="s">
        <v>2472</v>
      </c>
      <c r="I952" s="842" t="s">
        <v>2471</v>
      </c>
      <c r="J952" s="840">
        <v>365422657</v>
      </c>
      <c r="K952" s="840">
        <v>521373555</v>
      </c>
      <c r="L952" s="841">
        <v>6627414535</v>
      </c>
      <c r="M952" s="840">
        <v>7600832380</v>
      </c>
      <c r="N952" s="839">
        <f>Indicadores[[#This Row],[Ventas]]/Indicadores[[#This Row],[Activos totales]]</f>
        <v>1.1468774647880087</v>
      </c>
      <c r="O952" s="837">
        <f>IF(Indicadores[[#This Row],[Ventas]]=0,0,Indicadores[[#This Row],[EBITDA]]/Indicadores[[#This Row],[Ventas]])</f>
        <v>6.8594270855371758E-2</v>
      </c>
      <c r="P952" s="837">
        <f>IF(Indicadores[[#This Row],[Ventas]]=0,0,Indicadores[[#This Row],[UAI]]/Indicadores[[#This Row],[Ventas]])</f>
        <v>4.8076663019373148E-2</v>
      </c>
      <c r="Q952" s="837">
        <f>IFERROR(Indicadores[[#This Row],[Ventas]]/Indicadores[[#This Row],[Activos totales]],0)</f>
        <v>1.1468774647880087</v>
      </c>
    </row>
    <row r="953" spans="1:17" x14ac:dyDescent="0.3">
      <c r="A953" s="13" t="str">
        <f>MID(Indicadores[[#This Row],[CIIU]],2,4)</f>
        <v>2029</v>
      </c>
      <c r="B953" s="13" t="str">
        <f>Indicadores[[#This Row],[CIIU]]&amp;Indicadores[[#This Row],[Año]]</f>
        <v>C20292018</v>
      </c>
      <c r="C953" s="845" t="s">
        <v>2279</v>
      </c>
      <c r="D953" s="845" t="s">
        <v>2451</v>
      </c>
      <c r="E953" s="843">
        <v>2018</v>
      </c>
      <c r="F953" s="844" t="s">
        <v>2473</v>
      </c>
      <c r="G953" s="842" t="s">
        <v>2474</v>
      </c>
      <c r="H953" s="843" t="s">
        <v>2475</v>
      </c>
      <c r="I953" s="842" t="s">
        <v>2474</v>
      </c>
      <c r="J953" s="840">
        <v>306472749</v>
      </c>
      <c r="K953" s="840">
        <v>402258428</v>
      </c>
      <c r="L953" s="841">
        <v>4402412871</v>
      </c>
      <c r="M953" s="840">
        <v>4836243142</v>
      </c>
      <c r="N953" s="839">
        <f>Indicadores[[#This Row],[Ventas]]/Indicadores[[#This Row],[Activos totales]]</f>
        <v>1.0985437494647012</v>
      </c>
      <c r="O953" s="837">
        <f>IF(Indicadores[[#This Row],[Ventas]]=0,0,Indicadores[[#This Row],[EBITDA]]/Indicadores[[#This Row],[Ventas]])</f>
        <v>8.3175807375484509E-2</v>
      </c>
      <c r="P953" s="837">
        <f>IF(Indicadores[[#This Row],[Ventas]]=0,0,Indicadores[[#This Row],[UAI]]/Indicadores[[#This Row],[Ventas]])</f>
        <v>6.3370004361124818E-2</v>
      </c>
      <c r="Q953" s="837">
        <f>IFERROR(Indicadores[[#This Row],[Ventas]]/Indicadores[[#This Row],[Activos totales]],0)</f>
        <v>1.0985437494647012</v>
      </c>
    </row>
    <row r="954" spans="1:17" x14ac:dyDescent="0.3">
      <c r="A954" s="13" t="str">
        <f>MID(Indicadores[[#This Row],[CIIU]],2,4)</f>
        <v>2030</v>
      </c>
      <c r="B954" s="13" t="str">
        <f>Indicadores[[#This Row],[CIIU]]&amp;Indicadores[[#This Row],[Año]]</f>
        <v>C20302018</v>
      </c>
      <c r="C954" s="845" t="s">
        <v>2279</v>
      </c>
      <c r="D954" s="845" t="s">
        <v>2451</v>
      </c>
      <c r="E954" s="843">
        <v>2018</v>
      </c>
      <c r="F954" s="844" t="s">
        <v>2476</v>
      </c>
      <c r="G954" s="842" t="s">
        <v>2477</v>
      </c>
      <c r="H954" s="843" t="s">
        <v>2478</v>
      </c>
      <c r="I954" s="842" t="s">
        <v>2477</v>
      </c>
      <c r="J954" s="840">
        <v>26505363</v>
      </c>
      <c r="K954" s="840">
        <v>32238264</v>
      </c>
      <c r="L954" s="841">
        <v>263338228</v>
      </c>
      <c r="M954" s="840">
        <v>220608929</v>
      </c>
      <c r="N954" s="839">
        <f>Indicadores[[#This Row],[Ventas]]/Indicadores[[#This Row],[Activos totales]]</f>
        <v>0.83773985522527328</v>
      </c>
      <c r="O954" s="837">
        <f>IF(Indicadores[[#This Row],[Ventas]]=0,0,Indicadores[[#This Row],[EBITDA]]/Indicadores[[#This Row],[Ventas]])</f>
        <v>0.14613308784070114</v>
      </c>
      <c r="P954" s="837">
        <f>IF(Indicadores[[#This Row],[Ventas]]=0,0,Indicadores[[#This Row],[UAI]]/Indicadores[[#This Row],[Ventas]])</f>
        <v>0.12014637449239418</v>
      </c>
      <c r="Q954" s="837">
        <f>IFERROR(Indicadores[[#This Row],[Ventas]]/Indicadores[[#This Row],[Activos totales]],0)</f>
        <v>0.83773985522527328</v>
      </c>
    </row>
    <row r="955" spans="1:17" x14ac:dyDescent="0.3">
      <c r="A955" s="13" t="str">
        <f>MID(Indicadores[[#This Row],[CIIU]],2,4)</f>
        <v>2100</v>
      </c>
      <c r="B955" s="13" t="str">
        <f>Indicadores[[#This Row],[CIIU]]&amp;Indicadores[[#This Row],[Año]]</f>
        <v>C21002018</v>
      </c>
      <c r="C955" s="845" t="s">
        <v>2279</v>
      </c>
      <c r="D955" s="845" t="s">
        <v>2479</v>
      </c>
      <c r="E955" s="843">
        <v>2018</v>
      </c>
      <c r="F955" s="844" t="s">
        <v>2480</v>
      </c>
      <c r="G955" s="842" t="s">
        <v>2481</v>
      </c>
      <c r="H955" s="843" t="s">
        <v>2482</v>
      </c>
      <c r="I955" s="842" t="s">
        <v>2481</v>
      </c>
      <c r="J955" s="840">
        <v>684093307</v>
      </c>
      <c r="K955" s="840">
        <v>909179976</v>
      </c>
      <c r="L955" s="841">
        <v>8957490032</v>
      </c>
      <c r="M955" s="840">
        <v>8013803970</v>
      </c>
      <c r="N955" s="839">
        <f>Indicadores[[#This Row],[Ventas]]/Indicadores[[#This Row],[Activos totales]]</f>
        <v>0.894648382679886</v>
      </c>
      <c r="O955" s="837">
        <f>IF(Indicadores[[#This Row],[Ventas]]=0,0,Indicadores[[#This Row],[EBITDA]]/Indicadores[[#This Row],[Ventas]])</f>
        <v>0.11345173645419231</v>
      </c>
      <c r="P955" s="837">
        <f>IF(Indicadores[[#This Row],[Ventas]]=0,0,Indicadores[[#This Row],[UAI]]/Indicadores[[#This Row],[Ventas]])</f>
        <v>8.5364367479031311E-2</v>
      </c>
      <c r="Q955" s="837">
        <f>IFERROR(Indicadores[[#This Row],[Ventas]]/Indicadores[[#This Row],[Activos totales]],0)</f>
        <v>0.894648382679886</v>
      </c>
    </row>
    <row r="956" spans="1:17" x14ac:dyDescent="0.3">
      <c r="A956" s="13" t="str">
        <f>MID(Indicadores[[#This Row],[CIIU]],2,4)</f>
        <v>2211</v>
      </c>
      <c r="B956" s="13" t="str">
        <f>Indicadores[[#This Row],[CIIU]]&amp;Indicadores[[#This Row],[Año]]</f>
        <v>C22112018</v>
      </c>
      <c r="C956" s="845" t="s">
        <v>2279</v>
      </c>
      <c r="D956" s="845" t="s">
        <v>2483</v>
      </c>
      <c r="E956" s="843">
        <v>2018</v>
      </c>
      <c r="F956" s="844" t="s">
        <v>2484</v>
      </c>
      <c r="G956" s="838" t="s">
        <v>2485</v>
      </c>
      <c r="H956" s="843" t="s">
        <v>2486</v>
      </c>
      <c r="I956" s="842" t="s">
        <v>2485</v>
      </c>
      <c r="J956" s="840">
        <v>1894257</v>
      </c>
      <c r="K956" s="840">
        <v>15357752</v>
      </c>
      <c r="L956" s="841">
        <v>333620369</v>
      </c>
      <c r="M956" s="840">
        <v>330564088</v>
      </c>
      <c r="N956" s="839">
        <f>Indicadores[[#This Row],[Ventas]]/Indicadores[[#This Row],[Activos totales]]</f>
        <v>0.9908390455619932</v>
      </c>
      <c r="O956" s="837">
        <f>IF(Indicadores[[#This Row],[Ventas]]=0,0,Indicadores[[#This Row],[EBITDA]]/Indicadores[[#This Row],[Ventas]])</f>
        <v>4.645922699261875E-2</v>
      </c>
      <c r="P956" s="837">
        <f>IF(Indicadores[[#This Row],[Ventas]]=0,0,Indicadores[[#This Row],[UAI]]/Indicadores[[#This Row],[Ventas]])</f>
        <v>5.7303774631441515E-3</v>
      </c>
      <c r="Q956" s="837">
        <f>IFERROR(Indicadores[[#This Row],[Ventas]]/Indicadores[[#This Row],[Activos totales]],0)</f>
        <v>0.9908390455619932</v>
      </c>
    </row>
    <row r="957" spans="1:17" x14ac:dyDescent="0.3">
      <c r="A957" s="13" t="str">
        <f>MID(Indicadores[[#This Row],[CIIU]],2,4)</f>
        <v>2212</v>
      </c>
      <c r="B957" s="13" t="str">
        <f>Indicadores[[#This Row],[CIIU]]&amp;Indicadores[[#This Row],[Año]]</f>
        <v>C22122018</v>
      </c>
      <c r="C957" s="845" t="s">
        <v>2279</v>
      </c>
      <c r="D957" s="845" t="s">
        <v>2483</v>
      </c>
      <c r="E957" s="843">
        <v>2018</v>
      </c>
      <c r="F957" s="844" t="s">
        <v>2487</v>
      </c>
      <c r="G957" s="842" t="s">
        <v>2488</v>
      </c>
      <c r="H957" s="843" t="s">
        <v>2489</v>
      </c>
      <c r="I957" s="842" t="s">
        <v>2488</v>
      </c>
      <c r="J957" s="840">
        <v>3312830</v>
      </c>
      <c r="K957" s="840">
        <v>4470704</v>
      </c>
      <c r="L957" s="841">
        <v>69297524</v>
      </c>
      <c r="M957" s="840">
        <v>78049291</v>
      </c>
      <c r="N957" s="839">
        <f>Indicadores[[#This Row],[Ventas]]/Indicadores[[#This Row],[Activos totales]]</f>
        <v>1.1262926363718277</v>
      </c>
      <c r="O957" s="837">
        <f>IF(Indicadores[[#This Row],[Ventas]]=0,0,Indicadores[[#This Row],[EBITDA]]/Indicadores[[#This Row],[Ventas]])</f>
        <v>5.728052033169654E-2</v>
      </c>
      <c r="P957" s="837">
        <f>IF(Indicadores[[#This Row],[Ventas]]=0,0,Indicadores[[#This Row],[UAI]]/Indicadores[[#This Row],[Ventas]])</f>
        <v>4.2445356742574381E-2</v>
      </c>
      <c r="Q957" s="837">
        <f>IFERROR(Indicadores[[#This Row],[Ventas]]/Indicadores[[#This Row],[Activos totales]],0)</f>
        <v>1.1262926363718277</v>
      </c>
    </row>
    <row r="958" spans="1:17" x14ac:dyDescent="0.3">
      <c r="A958" s="13" t="str">
        <f>MID(Indicadores[[#This Row],[CIIU]],2,4)</f>
        <v>2219</v>
      </c>
      <c r="B958" s="13" t="str">
        <f>Indicadores[[#This Row],[CIIU]]&amp;Indicadores[[#This Row],[Año]]</f>
        <v>C22192018</v>
      </c>
      <c r="C958" s="845" t="s">
        <v>2279</v>
      </c>
      <c r="D958" s="845" t="s">
        <v>2483</v>
      </c>
      <c r="E958" s="843">
        <v>2018</v>
      </c>
      <c r="F958" s="844" t="s">
        <v>2490</v>
      </c>
      <c r="G958" s="842" t="s">
        <v>2491</v>
      </c>
      <c r="H958" s="843" t="s">
        <v>2492</v>
      </c>
      <c r="I958" s="842" t="s">
        <v>2491</v>
      </c>
      <c r="J958" s="840">
        <v>21289776</v>
      </c>
      <c r="K958" s="840">
        <v>32460233</v>
      </c>
      <c r="L958" s="841">
        <v>562569543</v>
      </c>
      <c r="M958" s="840">
        <v>486233309</v>
      </c>
      <c r="N958" s="839">
        <f>Indicadores[[#This Row],[Ventas]]/Indicadores[[#This Row],[Activos totales]]</f>
        <v>0.86430791543935392</v>
      </c>
      <c r="O958" s="837">
        <f>IF(Indicadores[[#This Row],[Ventas]]=0,0,Indicadores[[#This Row],[EBITDA]]/Indicadores[[#This Row],[Ventas]])</f>
        <v>6.6758554790823682E-2</v>
      </c>
      <c r="P958" s="837">
        <f>IF(Indicadores[[#This Row],[Ventas]]=0,0,Indicadores[[#This Row],[UAI]]/Indicadores[[#This Row],[Ventas]])</f>
        <v>4.3785103994181528E-2</v>
      </c>
      <c r="Q958" s="837">
        <f>IFERROR(Indicadores[[#This Row],[Ventas]]/Indicadores[[#This Row],[Activos totales]],0)</f>
        <v>0.86430791543935392</v>
      </c>
    </row>
    <row r="959" spans="1:17" x14ac:dyDescent="0.3">
      <c r="A959" s="13" t="str">
        <f>MID(Indicadores[[#This Row],[CIIU]],2,4)</f>
        <v>2221</v>
      </c>
      <c r="B959" s="13" t="str">
        <f>Indicadores[[#This Row],[CIIU]]&amp;Indicadores[[#This Row],[Año]]</f>
        <v>C22212018</v>
      </c>
      <c r="C959" s="845" t="s">
        <v>2279</v>
      </c>
      <c r="D959" s="845" t="s">
        <v>2483</v>
      </c>
      <c r="E959" s="843">
        <v>2018</v>
      </c>
      <c r="F959" s="844" t="s">
        <v>7</v>
      </c>
      <c r="G959" s="842" t="s">
        <v>2493</v>
      </c>
      <c r="H959" s="843" t="s">
        <v>2494</v>
      </c>
      <c r="I959" s="842" t="s">
        <v>2493</v>
      </c>
      <c r="J959" s="840">
        <v>71830372</v>
      </c>
      <c r="K959" s="840">
        <v>172790556</v>
      </c>
      <c r="L959" s="841">
        <v>3441492501</v>
      </c>
      <c r="M959" s="840">
        <v>2831582236</v>
      </c>
      <c r="N959" s="839">
        <f>Indicadores[[#This Row],[Ventas]]/Indicadores[[#This Row],[Activos totales]]</f>
        <v>0.82277739532404115</v>
      </c>
      <c r="O959" s="837">
        <f>IF(Indicadores[[#This Row],[Ventas]]=0,0,Indicadores[[#This Row],[EBITDA]]/Indicadores[[#This Row],[Ventas]])</f>
        <v>6.1022616190759292E-2</v>
      </c>
      <c r="P959" s="837">
        <f>IF(Indicadores[[#This Row],[Ventas]]=0,0,Indicadores[[#This Row],[UAI]]/Indicadores[[#This Row],[Ventas]])</f>
        <v>2.5367574032202678E-2</v>
      </c>
      <c r="Q959" s="837">
        <f>IFERROR(Indicadores[[#This Row],[Ventas]]/Indicadores[[#This Row],[Activos totales]],0)</f>
        <v>0.82277739532404115</v>
      </c>
    </row>
    <row r="960" spans="1:17" x14ac:dyDescent="0.3">
      <c r="A960" s="13" t="str">
        <f>MID(Indicadores[[#This Row],[CIIU]],2,4)</f>
        <v>2229</v>
      </c>
      <c r="B960" s="13" t="str">
        <f>Indicadores[[#This Row],[CIIU]]&amp;Indicadores[[#This Row],[Año]]</f>
        <v>C22292018</v>
      </c>
      <c r="C960" s="845" t="s">
        <v>2279</v>
      </c>
      <c r="D960" s="845" t="s">
        <v>2483</v>
      </c>
      <c r="E960" s="843">
        <v>2018</v>
      </c>
      <c r="F960" s="844" t="s">
        <v>2495</v>
      </c>
      <c r="G960" s="842" t="s">
        <v>2496</v>
      </c>
      <c r="H960" s="843" t="s">
        <v>2497</v>
      </c>
      <c r="I960" s="842" t="s">
        <v>2496</v>
      </c>
      <c r="J960" s="840">
        <v>248642711.53999999</v>
      </c>
      <c r="K960" s="840">
        <v>533655007.53999996</v>
      </c>
      <c r="L960" s="841">
        <v>8339047037</v>
      </c>
      <c r="M960" s="840">
        <v>6932908143.6000004</v>
      </c>
      <c r="N960" s="839">
        <f>Indicadores[[#This Row],[Ventas]]/Indicadores[[#This Row],[Activos totales]]</f>
        <v>0.83137894687953906</v>
      </c>
      <c r="O960" s="837">
        <f>IF(Indicadores[[#This Row],[Ventas]]=0,0,Indicadores[[#This Row],[EBITDA]]/Indicadores[[#This Row],[Ventas]])</f>
        <v>7.6974192717760834E-2</v>
      </c>
      <c r="P960" s="837">
        <f>IF(Indicadores[[#This Row],[Ventas]]=0,0,Indicadores[[#This Row],[UAI]]/Indicadores[[#This Row],[Ventas]])</f>
        <v>3.5864128932608229E-2</v>
      </c>
      <c r="Q960" s="837">
        <f>IFERROR(Indicadores[[#This Row],[Ventas]]/Indicadores[[#This Row],[Activos totales]],0)</f>
        <v>0.83137894687953906</v>
      </c>
    </row>
    <row r="961" spans="1:17" x14ac:dyDescent="0.3">
      <c r="A961" s="13" t="str">
        <f>MID(Indicadores[[#This Row],[CIIU]],2,4)</f>
        <v>2310</v>
      </c>
      <c r="B961" s="13" t="str">
        <f>Indicadores[[#This Row],[CIIU]]&amp;Indicadores[[#This Row],[Año]]</f>
        <v>C23102018</v>
      </c>
      <c r="C961" s="845" t="s">
        <v>2279</v>
      </c>
      <c r="D961" s="845" t="s">
        <v>2498</v>
      </c>
      <c r="E961" s="843">
        <v>2018</v>
      </c>
      <c r="F961" s="844" t="s">
        <v>2499</v>
      </c>
      <c r="G961" s="842" t="s">
        <v>2500</v>
      </c>
      <c r="H961" s="843" t="s">
        <v>2501</v>
      </c>
      <c r="I961" s="842" t="s">
        <v>2500</v>
      </c>
      <c r="J961" s="840">
        <v>254477676</v>
      </c>
      <c r="K961" s="840">
        <v>391704546</v>
      </c>
      <c r="L961" s="841">
        <v>3127654309</v>
      </c>
      <c r="M961" s="840">
        <v>2305094648</v>
      </c>
      <c r="N961" s="839">
        <f>Indicadores[[#This Row],[Ventas]]/Indicadores[[#This Row],[Activos totales]]</f>
        <v>0.73700429148034718</v>
      </c>
      <c r="O961" s="837">
        <f>IF(Indicadores[[#This Row],[Ventas]]=0,0,Indicadores[[#This Row],[EBITDA]]/Indicadores[[#This Row],[Ventas]])</f>
        <v>0.16992991864341009</v>
      </c>
      <c r="P961" s="837">
        <f>IF(Indicadores[[#This Row],[Ventas]]=0,0,Indicadores[[#This Row],[UAI]]/Indicadores[[#This Row],[Ventas]])</f>
        <v>0.11039792930880121</v>
      </c>
      <c r="Q961" s="837">
        <f>IFERROR(Indicadores[[#This Row],[Ventas]]/Indicadores[[#This Row],[Activos totales]],0)</f>
        <v>0.73700429148034718</v>
      </c>
    </row>
    <row r="962" spans="1:17" x14ac:dyDescent="0.3">
      <c r="A962" s="13" t="str">
        <f>MID(Indicadores[[#This Row],[CIIU]],2,4)</f>
        <v>2391</v>
      </c>
      <c r="B962" s="13" t="str">
        <f>Indicadores[[#This Row],[CIIU]]&amp;Indicadores[[#This Row],[Año]]</f>
        <v>C23912018</v>
      </c>
      <c r="C962" s="845" t="s">
        <v>2279</v>
      </c>
      <c r="D962" s="845" t="s">
        <v>2498</v>
      </c>
      <c r="E962" s="843">
        <v>2018</v>
      </c>
      <c r="F962" s="844" t="s">
        <v>2502</v>
      </c>
      <c r="G962" s="842" t="s">
        <v>2503</v>
      </c>
      <c r="H962" s="843" t="s">
        <v>2504</v>
      </c>
      <c r="I962" s="842" t="s">
        <v>2503</v>
      </c>
      <c r="J962" s="840">
        <v>1185771</v>
      </c>
      <c r="K962" s="840">
        <v>2251836</v>
      </c>
      <c r="L962" s="841">
        <v>70525401</v>
      </c>
      <c r="M962" s="840">
        <v>28391742</v>
      </c>
      <c r="N962" s="839">
        <f>Indicadores[[#This Row],[Ventas]]/Indicadores[[#This Row],[Activos totales]]</f>
        <v>0.40257469787374905</v>
      </c>
      <c r="O962" s="837">
        <f>IF(Indicadores[[#This Row],[Ventas]]=0,0,Indicadores[[#This Row],[EBITDA]]/Indicadores[[#This Row],[Ventas]])</f>
        <v>7.9313062227742134E-2</v>
      </c>
      <c r="P962" s="837">
        <f>IF(Indicadores[[#This Row],[Ventas]]=0,0,Indicadores[[#This Row],[UAI]]/Indicadores[[#This Row],[Ventas]])</f>
        <v>4.1764644099682224E-2</v>
      </c>
      <c r="Q962" s="837">
        <f>IFERROR(Indicadores[[#This Row],[Ventas]]/Indicadores[[#This Row],[Activos totales]],0)</f>
        <v>0.40257469787374905</v>
      </c>
    </row>
    <row r="963" spans="1:17" x14ac:dyDescent="0.3">
      <c r="A963" s="13" t="str">
        <f>MID(Indicadores[[#This Row],[CIIU]],2,4)</f>
        <v>2392</v>
      </c>
      <c r="B963" s="13" t="str">
        <f>Indicadores[[#This Row],[CIIU]]&amp;Indicadores[[#This Row],[Año]]</f>
        <v>C23922018</v>
      </c>
      <c r="C963" s="845" t="s">
        <v>2279</v>
      </c>
      <c r="D963" s="845" t="s">
        <v>2498</v>
      </c>
      <c r="E963" s="843">
        <v>2018</v>
      </c>
      <c r="F963" s="844" t="s">
        <v>2505</v>
      </c>
      <c r="G963" s="842" t="s">
        <v>2506</v>
      </c>
      <c r="H963" s="843" t="s">
        <v>2507</v>
      </c>
      <c r="I963" s="842" t="s">
        <v>2506</v>
      </c>
      <c r="J963" s="840">
        <v>-43357675</v>
      </c>
      <c r="K963" s="840">
        <v>16472656</v>
      </c>
      <c r="L963" s="841">
        <v>2286166359</v>
      </c>
      <c r="M963" s="840">
        <v>1275785333</v>
      </c>
      <c r="N963" s="839">
        <f>Indicadores[[#This Row],[Ventas]]/Indicadores[[#This Row],[Activos totales]]</f>
        <v>0.55804571175565965</v>
      </c>
      <c r="O963" s="837">
        <f>IF(Indicadores[[#This Row],[Ventas]]=0,0,Indicadores[[#This Row],[EBITDA]]/Indicadores[[#This Row],[Ventas]])</f>
        <v>1.2911777219812261E-2</v>
      </c>
      <c r="P963" s="837">
        <f>IF(Indicadores[[#This Row],[Ventas]]=0,0,Indicadores[[#This Row],[UAI]]/Indicadores[[#This Row],[Ventas]])</f>
        <v>-3.39850865803926E-2</v>
      </c>
      <c r="Q963" s="837">
        <f>IFERROR(Indicadores[[#This Row],[Ventas]]/Indicadores[[#This Row],[Activos totales]],0)</f>
        <v>0.55804571175565965</v>
      </c>
    </row>
    <row r="964" spans="1:17" x14ac:dyDescent="0.3">
      <c r="A964" s="13" t="str">
        <f>MID(Indicadores[[#This Row],[CIIU]],2,4)</f>
        <v>2393</v>
      </c>
      <c r="B964" s="13" t="str">
        <f>Indicadores[[#This Row],[CIIU]]&amp;Indicadores[[#This Row],[Año]]</f>
        <v>C23932018</v>
      </c>
      <c r="C964" s="845" t="s">
        <v>2279</v>
      </c>
      <c r="D964" s="845" t="s">
        <v>2498</v>
      </c>
      <c r="E964" s="843">
        <v>2018</v>
      </c>
      <c r="F964" s="844" t="s">
        <v>2508</v>
      </c>
      <c r="G964" s="838" t="s">
        <v>2509</v>
      </c>
      <c r="H964" s="843" t="s">
        <v>2510</v>
      </c>
      <c r="I964" s="842" t="s">
        <v>2509</v>
      </c>
      <c r="J964" s="840">
        <v>-57926923</v>
      </c>
      <c r="K964" s="840">
        <v>2978728</v>
      </c>
      <c r="L964" s="841">
        <v>1735749678</v>
      </c>
      <c r="M964" s="840">
        <v>1354427104</v>
      </c>
      <c r="N964" s="839">
        <f>Indicadores[[#This Row],[Ventas]]/Indicadores[[#This Row],[Activos totales]]</f>
        <v>0.7803124616221303</v>
      </c>
      <c r="O964" s="837">
        <f>IF(Indicadores[[#This Row],[Ventas]]=0,0,Indicadores[[#This Row],[EBITDA]]/Indicadores[[#This Row],[Ventas]])</f>
        <v>2.199253094687036E-3</v>
      </c>
      <c r="P964" s="837">
        <f>IF(Indicadores[[#This Row],[Ventas]]=0,0,Indicadores[[#This Row],[UAI]]/Indicadores[[#This Row],[Ventas]])</f>
        <v>-4.276857929742079E-2</v>
      </c>
      <c r="Q964" s="837">
        <f>IFERROR(Indicadores[[#This Row],[Ventas]]/Indicadores[[#This Row],[Activos totales]],0)</f>
        <v>0.7803124616221303</v>
      </c>
    </row>
    <row r="965" spans="1:17" x14ac:dyDescent="0.3">
      <c r="A965" s="13" t="str">
        <f>MID(Indicadores[[#This Row],[CIIU]],2,4)</f>
        <v>2394</v>
      </c>
      <c r="B965" s="13" t="str">
        <f>Indicadores[[#This Row],[CIIU]]&amp;Indicadores[[#This Row],[Año]]</f>
        <v>C23942018</v>
      </c>
      <c r="C965" s="845" t="s">
        <v>2279</v>
      </c>
      <c r="D965" s="845" t="s">
        <v>2498</v>
      </c>
      <c r="E965" s="843">
        <v>2018</v>
      </c>
      <c r="F965" s="844" t="s">
        <v>2511</v>
      </c>
      <c r="G965" s="842" t="s">
        <v>2512</v>
      </c>
      <c r="H965" s="843" t="s">
        <v>2513</v>
      </c>
      <c r="I965" s="842" t="s">
        <v>2512</v>
      </c>
      <c r="J965" s="840">
        <v>35191229</v>
      </c>
      <c r="K965" s="840">
        <v>176364071</v>
      </c>
      <c r="L965" s="841">
        <v>4846964744</v>
      </c>
      <c r="M965" s="840">
        <v>1949009120</v>
      </c>
      <c r="N965" s="839">
        <f>Indicadores[[#This Row],[Ventas]]/Indicadores[[#This Row],[Activos totales]]</f>
        <v>0.4021092008999354</v>
      </c>
      <c r="O965" s="837">
        <f>IF(Indicadores[[#This Row],[Ventas]]=0,0,Indicadores[[#This Row],[EBITDA]]/Indicadores[[#This Row],[Ventas]])</f>
        <v>9.0489094786790944E-2</v>
      </c>
      <c r="P965" s="837">
        <f>IF(Indicadores[[#This Row],[Ventas]]=0,0,Indicadores[[#This Row],[UAI]]/Indicadores[[#This Row],[Ventas]])</f>
        <v>1.8055959122448846E-2</v>
      </c>
      <c r="Q965" s="837">
        <f>IFERROR(Indicadores[[#This Row],[Ventas]]/Indicadores[[#This Row],[Activos totales]],0)</f>
        <v>0.4021092008999354</v>
      </c>
    </row>
    <row r="966" spans="1:17" x14ac:dyDescent="0.3">
      <c r="A966" s="13" t="str">
        <f>MID(Indicadores[[#This Row],[CIIU]],2,4)</f>
        <v>2395</v>
      </c>
      <c r="B966" s="13" t="str">
        <f>Indicadores[[#This Row],[CIIU]]&amp;Indicadores[[#This Row],[Año]]</f>
        <v>C23952018</v>
      </c>
      <c r="C966" s="845" t="s">
        <v>2279</v>
      </c>
      <c r="D966" s="845" t="s">
        <v>2498</v>
      </c>
      <c r="E966" s="843">
        <v>2018</v>
      </c>
      <c r="F966" s="844" t="s">
        <v>2514</v>
      </c>
      <c r="G966" s="842" t="s">
        <v>2515</v>
      </c>
      <c r="H966" s="843" t="s">
        <v>2516</v>
      </c>
      <c r="I966" s="842" t="s">
        <v>2515</v>
      </c>
      <c r="J966" s="840">
        <v>42607928</v>
      </c>
      <c r="K966" s="840">
        <v>135818227</v>
      </c>
      <c r="L966" s="841">
        <v>2105466564</v>
      </c>
      <c r="M966" s="840">
        <v>2093916882</v>
      </c>
      <c r="N966" s="839">
        <f>Indicadores[[#This Row],[Ventas]]/Indicadores[[#This Row],[Activos totales]]</f>
        <v>0.99451443105415183</v>
      </c>
      <c r="O966" s="837">
        <f>IF(Indicadores[[#This Row],[Ventas]]=0,0,Indicadores[[#This Row],[EBITDA]]/Indicadores[[#This Row],[Ventas]])</f>
        <v>6.4863237011716299E-2</v>
      </c>
      <c r="P966" s="837">
        <f>IF(Indicadores[[#This Row],[Ventas]]=0,0,Indicadores[[#This Row],[UAI]]/Indicadores[[#This Row],[Ventas]])</f>
        <v>2.0348433295644064E-2</v>
      </c>
      <c r="Q966" s="837">
        <f>IFERROR(Indicadores[[#This Row],[Ventas]]/Indicadores[[#This Row],[Activos totales]],0)</f>
        <v>0.99451443105415183</v>
      </c>
    </row>
    <row r="967" spans="1:17" x14ac:dyDescent="0.3">
      <c r="A967" s="13" t="str">
        <f>MID(Indicadores[[#This Row],[CIIU]],2,4)</f>
        <v>2396</v>
      </c>
      <c r="B967" s="13" t="str">
        <f>Indicadores[[#This Row],[CIIU]]&amp;Indicadores[[#This Row],[Año]]</f>
        <v>C23962018</v>
      </c>
      <c r="C967" s="845" t="s">
        <v>2279</v>
      </c>
      <c r="D967" s="845" t="s">
        <v>2498</v>
      </c>
      <c r="E967" s="843">
        <v>2018</v>
      </c>
      <c r="F967" s="844" t="s">
        <v>2517</v>
      </c>
      <c r="G967" s="838" t="s">
        <v>2518</v>
      </c>
      <c r="H967" s="843" t="s">
        <v>2519</v>
      </c>
      <c r="I967" s="842" t="s">
        <v>2518</v>
      </c>
      <c r="J967" s="840">
        <v>76439</v>
      </c>
      <c r="K967" s="840">
        <v>155453</v>
      </c>
      <c r="L967" s="841">
        <v>9127267</v>
      </c>
      <c r="M967" s="840">
        <v>3991735</v>
      </c>
      <c r="N967" s="839">
        <f>Indicadores[[#This Row],[Ventas]]/Indicadores[[#This Row],[Activos totales]]</f>
        <v>0.43734175849134249</v>
      </c>
      <c r="O967" s="837">
        <f>IF(Indicadores[[#This Row],[Ventas]]=0,0,Indicadores[[#This Row],[EBITDA]]/Indicadores[[#This Row],[Ventas]])</f>
        <v>3.8943717456193863E-2</v>
      </c>
      <c r="P967" s="837">
        <f>IF(Indicadores[[#This Row],[Ventas]]=0,0,Indicadores[[#This Row],[UAI]]/Indicadores[[#This Row],[Ventas]])</f>
        <v>1.9149317276823237E-2</v>
      </c>
      <c r="Q967" s="837">
        <f>IFERROR(Indicadores[[#This Row],[Ventas]]/Indicadores[[#This Row],[Activos totales]],0)</f>
        <v>0.43734175849134249</v>
      </c>
    </row>
    <row r="968" spans="1:17" x14ac:dyDescent="0.3">
      <c r="A968" s="13" t="str">
        <f>MID(Indicadores[[#This Row],[CIIU]],2,4)</f>
        <v>2399</v>
      </c>
      <c r="B968" s="13" t="str">
        <f>Indicadores[[#This Row],[CIIU]]&amp;Indicadores[[#This Row],[Año]]</f>
        <v>C23992018</v>
      </c>
      <c r="C968" s="845" t="s">
        <v>2279</v>
      </c>
      <c r="D968" s="845" t="s">
        <v>2498</v>
      </c>
      <c r="E968" s="843">
        <v>2018</v>
      </c>
      <c r="F968" s="844" t="s">
        <v>2520</v>
      </c>
      <c r="G968" s="842" t="s">
        <v>2521</v>
      </c>
      <c r="H968" s="843" t="s">
        <v>2522</v>
      </c>
      <c r="I968" s="842" t="s">
        <v>2521</v>
      </c>
      <c r="J968" s="840">
        <v>9331576</v>
      </c>
      <c r="K968" s="840">
        <v>27787246</v>
      </c>
      <c r="L968" s="841">
        <v>587192083</v>
      </c>
      <c r="M968" s="840">
        <v>388735008</v>
      </c>
      <c r="N968" s="839">
        <f>Indicadores[[#This Row],[Ventas]]/Indicadores[[#This Row],[Activos totales]]</f>
        <v>0.66202358521921689</v>
      </c>
      <c r="O968" s="837">
        <f>IF(Indicadores[[#This Row],[Ventas]]=0,0,Indicadores[[#This Row],[EBITDA]]/Indicadores[[#This Row],[Ventas]])</f>
        <v>7.1481202948410552E-2</v>
      </c>
      <c r="P968" s="837">
        <f>IF(Indicadores[[#This Row],[Ventas]]=0,0,Indicadores[[#This Row],[UAI]]/Indicadores[[#This Row],[Ventas]])</f>
        <v>2.4004979762460705E-2</v>
      </c>
      <c r="Q968" s="837">
        <f>IFERROR(Indicadores[[#This Row],[Ventas]]/Indicadores[[#This Row],[Activos totales]],0)</f>
        <v>0.66202358521921689</v>
      </c>
    </row>
    <row r="969" spans="1:17" x14ac:dyDescent="0.3">
      <c r="A969" s="13" t="str">
        <f>MID(Indicadores[[#This Row],[CIIU]],2,4)</f>
        <v>2410</v>
      </c>
      <c r="B969" s="13" t="str">
        <f>Indicadores[[#This Row],[CIIU]]&amp;Indicadores[[#This Row],[Año]]</f>
        <v>C24102018</v>
      </c>
      <c r="C969" s="845" t="s">
        <v>2279</v>
      </c>
      <c r="D969" s="845" t="s">
        <v>2523</v>
      </c>
      <c r="E969" s="843">
        <v>2018</v>
      </c>
      <c r="F969" s="844" t="s">
        <v>2524</v>
      </c>
      <c r="G969" s="842" t="s">
        <v>2525</v>
      </c>
      <c r="H969" s="843" t="s">
        <v>2526</v>
      </c>
      <c r="I969" s="842" t="s">
        <v>2525</v>
      </c>
      <c r="J969" s="840">
        <v>163737608</v>
      </c>
      <c r="K969" s="840">
        <v>318088518</v>
      </c>
      <c r="L969" s="841">
        <v>5669115498</v>
      </c>
      <c r="M969" s="840">
        <v>5084742064</v>
      </c>
      <c r="N969" s="839">
        <f>Indicadores[[#This Row],[Ventas]]/Indicadores[[#This Row],[Activos totales]]</f>
        <v>0.89691982211225718</v>
      </c>
      <c r="O969" s="837">
        <f>IF(Indicadores[[#This Row],[Ventas]]=0,0,Indicadores[[#This Row],[EBITDA]]/Indicadores[[#This Row],[Ventas]])</f>
        <v>6.2557454045126165E-2</v>
      </c>
      <c r="P969" s="837">
        <f>IF(Indicadores[[#This Row],[Ventas]]=0,0,Indicadores[[#This Row],[UAI]]/Indicadores[[#This Row],[Ventas]])</f>
        <v>3.2201752997317819E-2</v>
      </c>
      <c r="Q969" s="837">
        <f>IFERROR(Indicadores[[#This Row],[Ventas]]/Indicadores[[#This Row],[Activos totales]],0)</f>
        <v>0.89691982211225718</v>
      </c>
    </row>
    <row r="970" spans="1:17" x14ac:dyDescent="0.3">
      <c r="A970" s="13" t="str">
        <f>MID(Indicadores[[#This Row],[CIIU]],2,4)</f>
        <v>2421</v>
      </c>
      <c r="B970" s="13" t="str">
        <f>Indicadores[[#This Row],[CIIU]]&amp;Indicadores[[#This Row],[Año]]</f>
        <v>C24212018</v>
      </c>
      <c r="C970" s="845" t="s">
        <v>2279</v>
      </c>
      <c r="D970" s="845" t="s">
        <v>2523</v>
      </c>
      <c r="E970" s="843">
        <v>2018</v>
      </c>
      <c r="F970" s="844" t="s">
        <v>2527</v>
      </c>
      <c r="G970" s="842" t="s">
        <v>2528</v>
      </c>
      <c r="H970" s="843" t="s">
        <v>2529</v>
      </c>
      <c r="I970" s="842" t="s">
        <v>2528</v>
      </c>
      <c r="J970" s="840">
        <v>-1894102</v>
      </c>
      <c r="K970" s="840">
        <v>-999685</v>
      </c>
      <c r="L970" s="841">
        <v>129748137</v>
      </c>
      <c r="M970" s="840">
        <v>575022542</v>
      </c>
      <c r="N970" s="839">
        <f>Indicadores[[#This Row],[Ventas]]/Indicadores[[#This Row],[Activos totales]]</f>
        <v>4.4318365973917606</v>
      </c>
      <c r="O970" s="837">
        <f>IF(Indicadores[[#This Row],[Ventas]]=0,0,Indicadores[[#This Row],[EBITDA]]/Indicadores[[#This Row],[Ventas]])</f>
        <v>-1.7385144528820923E-3</v>
      </c>
      <c r="P970" s="837">
        <f>IF(Indicadores[[#This Row],[Ventas]]=0,0,Indicadores[[#This Row],[UAI]]/Indicadores[[#This Row],[Ventas]])</f>
        <v>-3.2939613000423904E-3</v>
      </c>
      <c r="Q970" s="837">
        <f>IFERROR(Indicadores[[#This Row],[Ventas]]/Indicadores[[#This Row],[Activos totales]],0)</f>
        <v>4.4318365973917606</v>
      </c>
    </row>
    <row r="971" spans="1:17" x14ac:dyDescent="0.3">
      <c r="A971" s="13" t="str">
        <f>MID(Indicadores[[#This Row],[CIIU]],2,4)</f>
        <v>2429</v>
      </c>
      <c r="B971" s="13" t="str">
        <f>Indicadores[[#This Row],[CIIU]]&amp;Indicadores[[#This Row],[Año]]</f>
        <v>C24292018</v>
      </c>
      <c r="C971" s="845" t="s">
        <v>2279</v>
      </c>
      <c r="D971" s="845" t="s">
        <v>2523</v>
      </c>
      <c r="E971" s="843">
        <v>2018</v>
      </c>
      <c r="F971" s="844" t="s">
        <v>2530</v>
      </c>
      <c r="G971" s="842" t="s">
        <v>2531</v>
      </c>
      <c r="H971" s="843" t="s">
        <v>2532</v>
      </c>
      <c r="I971" s="842" t="s">
        <v>2531</v>
      </c>
      <c r="J971" s="840">
        <v>3155585</v>
      </c>
      <c r="K971" s="840">
        <v>3927645</v>
      </c>
      <c r="L971" s="841">
        <v>90648547</v>
      </c>
      <c r="M971" s="840">
        <v>51605203</v>
      </c>
      <c r="N971" s="839">
        <f>Indicadores[[#This Row],[Ventas]]/Indicadores[[#This Row],[Activos totales]]</f>
        <v>0.56928880503732726</v>
      </c>
      <c r="O971" s="837">
        <f>IF(Indicadores[[#This Row],[Ventas]]=0,0,Indicadores[[#This Row],[EBITDA]]/Indicadores[[#This Row],[Ventas]])</f>
        <v>7.610947679054765E-2</v>
      </c>
      <c r="P971" s="837">
        <f>IF(Indicadores[[#This Row],[Ventas]]=0,0,Indicadores[[#This Row],[UAI]]/Indicadores[[#This Row],[Ventas]])</f>
        <v>6.1148582246638966E-2</v>
      </c>
      <c r="Q971" s="837">
        <f>IFERROR(Indicadores[[#This Row],[Ventas]]/Indicadores[[#This Row],[Activos totales]],0)</f>
        <v>0.56928880503732726</v>
      </c>
    </row>
    <row r="972" spans="1:17" x14ac:dyDescent="0.3">
      <c r="A972" s="13" t="str">
        <f>MID(Indicadores[[#This Row],[CIIU]],2,4)</f>
        <v>2431</v>
      </c>
      <c r="B972" s="13" t="str">
        <f>Indicadores[[#This Row],[CIIU]]&amp;Indicadores[[#This Row],[Año]]</f>
        <v>C24312018</v>
      </c>
      <c r="C972" s="845" t="s">
        <v>2279</v>
      </c>
      <c r="D972" s="845" t="s">
        <v>2523</v>
      </c>
      <c r="E972" s="843">
        <v>2018</v>
      </c>
      <c r="F972" s="844" t="s">
        <v>2533</v>
      </c>
      <c r="G972" s="842" t="s">
        <v>2534</v>
      </c>
      <c r="H972" s="843" t="s">
        <v>2535</v>
      </c>
      <c r="I972" s="842" t="s">
        <v>2534</v>
      </c>
      <c r="J972" s="840">
        <v>-53117</v>
      </c>
      <c r="K972" s="840">
        <v>6624619</v>
      </c>
      <c r="L972" s="841">
        <v>180955044</v>
      </c>
      <c r="M972" s="840">
        <v>154895605</v>
      </c>
      <c r="N972" s="839">
        <f>Indicadores[[#This Row],[Ventas]]/Indicadores[[#This Row],[Activos totales]]</f>
        <v>0.85598943017029139</v>
      </c>
      <c r="O972" s="837">
        <f>IF(Indicadores[[#This Row],[Ventas]]=0,0,Indicadores[[#This Row],[EBITDA]]/Indicadores[[#This Row],[Ventas]])</f>
        <v>4.276828254746156E-2</v>
      </c>
      <c r="P972" s="837">
        <f>IF(Indicadores[[#This Row],[Ventas]]=0,0,Indicadores[[#This Row],[UAI]]/Indicadores[[#This Row],[Ventas]])</f>
        <v>-3.4292128559748353E-4</v>
      </c>
      <c r="Q972" s="837">
        <f>IFERROR(Indicadores[[#This Row],[Ventas]]/Indicadores[[#This Row],[Activos totales]],0)</f>
        <v>0.85598943017029139</v>
      </c>
    </row>
    <row r="973" spans="1:17" x14ac:dyDescent="0.3">
      <c r="A973" s="13" t="str">
        <f>MID(Indicadores[[#This Row],[CIIU]],2,4)</f>
        <v>2432</v>
      </c>
      <c r="B973" s="13" t="str">
        <f>Indicadores[[#This Row],[CIIU]]&amp;Indicadores[[#This Row],[Año]]</f>
        <v>C24322018</v>
      </c>
      <c r="C973" s="845" t="s">
        <v>2279</v>
      </c>
      <c r="D973" s="845" t="s">
        <v>2523</v>
      </c>
      <c r="E973" s="843">
        <v>2018</v>
      </c>
      <c r="F973" s="844" t="s">
        <v>2536</v>
      </c>
      <c r="G973" s="842" t="s">
        <v>2537</v>
      </c>
      <c r="H973" s="843" t="s">
        <v>2538</v>
      </c>
      <c r="I973" s="842" t="s">
        <v>2539</v>
      </c>
      <c r="J973" s="840">
        <v>13136095</v>
      </c>
      <c r="K973" s="840">
        <v>16303896</v>
      </c>
      <c r="L973" s="841">
        <v>198880860</v>
      </c>
      <c r="M973" s="840">
        <v>726705274</v>
      </c>
      <c r="N973" s="839">
        <f>Indicadores[[#This Row],[Ventas]]/Indicadores[[#This Row],[Activos totales]]</f>
        <v>3.6539729061911741</v>
      </c>
      <c r="O973" s="837">
        <f>IF(Indicadores[[#This Row],[Ventas]]=0,0,Indicadores[[#This Row],[EBITDA]]/Indicadores[[#This Row],[Ventas]])</f>
        <v>2.243536215205726E-2</v>
      </c>
      <c r="P973" s="837">
        <f>IF(Indicadores[[#This Row],[Ventas]]=0,0,Indicadores[[#This Row],[UAI]]/Indicadores[[#This Row],[Ventas]])</f>
        <v>1.8076234575394041E-2</v>
      </c>
      <c r="Q973" s="837">
        <f>IFERROR(Indicadores[[#This Row],[Ventas]]/Indicadores[[#This Row],[Activos totales]],0)</f>
        <v>3.6539729061911741</v>
      </c>
    </row>
    <row r="974" spans="1:17" x14ac:dyDescent="0.3">
      <c r="A974" s="13" t="str">
        <f>MID(Indicadores[[#This Row],[CIIU]],2,4)</f>
        <v>2511</v>
      </c>
      <c r="B974" s="13" t="str">
        <f>Indicadores[[#This Row],[CIIU]]&amp;Indicadores[[#This Row],[Año]]</f>
        <v>C25112018</v>
      </c>
      <c r="C974" s="845" t="s">
        <v>2279</v>
      </c>
      <c r="D974" s="845" t="s">
        <v>2540</v>
      </c>
      <c r="E974" s="843">
        <v>2018</v>
      </c>
      <c r="F974" s="844" t="s">
        <v>2541</v>
      </c>
      <c r="G974" s="842" t="s">
        <v>2542</v>
      </c>
      <c r="H974" s="843" t="s">
        <v>2543</v>
      </c>
      <c r="I974" s="842" t="s">
        <v>2542</v>
      </c>
      <c r="J974" s="840">
        <v>65863025</v>
      </c>
      <c r="K974" s="840">
        <v>101347523</v>
      </c>
      <c r="L974" s="841">
        <v>2264440857</v>
      </c>
      <c r="M974" s="840">
        <v>1812239850</v>
      </c>
      <c r="N974" s="839">
        <f>Indicadores[[#This Row],[Ventas]]/Indicadores[[#This Row],[Activos totales]]</f>
        <v>0.80030345875357078</v>
      </c>
      <c r="O974" s="837">
        <f>IF(Indicadores[[#This Row],[Ventas]]=0,0,Indicadores[[#This Row],[EBITDA]]/Indicadores[[#This Row],[Ventas]])</f>
        <v>5.5923901574065925E-2</v>
      </c>
      <c r="P974" s="837">
        <f>IF(Indicadores[[#This Row],[Ventas]]=0,0,Indicadores[[#This Row],[UAI]]/Indicadores[[#This Row],[Ventas]])</f>
        <v>3.6343437100778905E-2</v>
      </c>
      <c r="Q974" s="837">
        <f>IFERROR(Indicadores[[#This Row],[Ventas]]/Indicadores[[#This Row],[Activos totales]],0)</f>
        <v>0.80030345875357078</v>
      </c>
    </row>
    <row r="975" spans="1:17" x14ac:dyDescent="0.3">
      <c r="A975" s="13" t="str">
        <f>MID(Indicadores[[#This Row],[CIIU]],2,4)</f>
        <v>2512</v>
      </c>
      <c r="B975" s="13" t="str">
        <f>Indicadores[[#This Row],[CIIU]]&amp;Indicadores[[#This Row],[Año]]</f>
        <v>C25122018</v>
      </c>
      <c r="C975" s="845" t="s">
        <v>2279</v>
      </c>
      <c r="D975" s="845" t="s">
        <v>2540</v>
      </c>
      <c r="E975" s="843">
        <v>2018</v>
      </c>
      <c r="F975" s="844" t="s">
        <v>2544</v>
      </c>
      <c r="G975" s="842" t="s">
        <v>2545</v>
      </c>
      <c r="H975" s="843" t="s">
        <v>2546</v>
      </c>
      <c r="I975" s="842" t="s">
        <v>2545</v>
      </c>
      <c r="J975" s="840">
        <v>3520538</v>
      </c>
      <c r="K975" s="840">
        <v>6676590</v>
      </c>
      <c r="L975" s="841">
        <v>150266965</v>
      </c>
      <c r="M975" s="840">
        <v>61165526</v>
      </c>
      <c r="N975" s="839">
        <f>Indicadores[[#This Row],[Ventas]]/Indicadores[[#This Row],[Activos totales]]</f>
        <v>0.40704572691675778</v>
      </c>
      <c r="O975" s="837">
        <f>IF(Indicadores[[#This Row],[Ventas]]=0,0,Indicadores[[#This Row],[EBITDA]]/Indicadores[[#This Row],[Ventas]])</f>
        <v>0.10915609554310053</v>
      </c>
      <c r="P975" s="837">
        <f>IF(Indicadores[[#This Row],[Ventas]]=0,0,Indicadores[[#This Row],[UAI]]/Indicadores[[#This Row],[Ventas]])</f>
        <v>5.755755292613686E-2</v>
      </c>
      <c r="Q975" s="837">
        <f>IFERROR(Indicadores[[#This Row],[Ventas]]/Indicadores[[#This Row],[Activos totales]],0)</f>
        <v>0.40704572691675778</v>
      </c>
    </row>
    <row r="976" spans="1:17" x14ac:dyDescent="0.3">
      <c r="A976" s="13" t="str">
        <f>MID(Indicadores[[#This Row],[CIIU]],2,4)</f>
        <v>2513</v>
      </c>
      <c r="B976" s="13" t="str">
        <f>Indicadores[[#This Row],[CIIU]]&amp;Indicadores[[#This Row],[Año]]</f>
        <v>C25132018</v>
      </c>
      <c r="C976" s="845" t="s">
        <v>2279</v>
      </c>
      <c r="D976" s="845" t="s">
        <v>2540</v>
      </c>
      <c r="E976" s="843">
        <v>2018</v>
      </c>
      <c r="F976" s="844" t="s">
        <v>2547</v>
      </c>
      <c r="G976" s="842" t="s">
        <v>2548</v>
      </c>
      <c r="H976" s="843" t="s">
        <v>2549</v>
      </c>
      <c r="I976" s="842" t="s">
        <v>2548</v>
      </c>
      <c r="J976" s="840">
        <v>1673124</v>
      </c>
      <c r="K976" s="840">
        <v>2718969</v>
      </c>
      <c r="L976" s="841">
        <v>51047002</v>
      </c>
      <c r="M976" s="840">
        <v>50352115</v>
      </c>
      <c r="N976" s="839">
        <f>Indicadores[[#This Row],[Ventas]]/Indicadores[[#This Row],[Activos totales]]</f>
        <v>0.98638731026750603</v>
      </c>
      <c r="O976" s="837">
        <f>IF(Indicadores[[#This Row],[Ventas]]=0,0,Indicadores[[#This Row],[EBITDA]]/Indicadores[[#This Row],[Ventas]])</f>
        <v>5.3999102123118363E-2</v>
      </c>
      <c r="P976" s="837">
        <f>IF(Indicadores[[#This Row],[Ventas]]=0,0,Indicadores[[#This Row],[UAI]]/Indicadores[[#This Row],[Ventas]])</f>
        <v>3.3228475109734715E-2</v>
      </c>
      <c r="Q976" s="837">
        <f>IFERROR(Indicadores[[#This Row],[Ventas]]/Indicadores[[#This Row],[Activos totales]],0)</f>
        <v>0.98638731026750603</v>
      </c>
    </row>
    <row r="977" spans="1:17" x14ac:dyDescent="0.3">
      <c r="A977" s="13" t="str">
        <f>MID(Indicadores[[#This Row],[CIIU]],2,4)</f>
        <v>2591</v>
      </c>
      <c r="B977" s="13" t="str">
        <f>Indicadores[[#This Row],[CIIU]]&amp;Indicadores[[#This Row],[Año]]</f>
        <v>C25912018</v>
      </c>
      <c r="C977" s="845" t="s">
        <v>2279</v>
      </c>
      <c r="D977" s="845" t="s">
        <v>2540</v>
      </c>
      <c r="E977" s="843">
        <v>2018</v>
      </c>
      <c r="F977" s="844" t="s">
        <v>2553</v>
      </c>
      <c r="G977" s="842" t="s">
        <v>2554</v>
      </c>
      <c r="H977" s="843" t="s">
        <v>2555</v>
      </c>
      <c r="I977" s="842" t="s">
        <v>2554</v>
      </c>
      <c r="J977" s="840">
        <v>2364055</v>
      </c>
      <c r="K977" s="840">
        <v>4030614</v>
      </c>
      <c r="L977" s="841">
        <v>97916047</v>
      </c>
      <c r="M977" s="840">
        <v>85048663</v>
      </c>
      <c r="N977" s="839">
        <f>Indicadores[[#This Row],[Ventas]]/Indicadores[[#This Row],[Activos totales]]</f>
        <v>0.8685875870785511</v>
      </c>
      <c r="O977" s="837">
        <f>IF(Indicadores[[#This Row],[Ventas]]=0,0,Indicadores[[#This Row],[EBITDA]]/Indicadores[[#This Row],[Ventas]])</f>
        <v>4.7391856118890428E-2</v>
      </c>
      <c r="P977" s="837">
        <f>IF(Indicadores[[#This Row],[Ventas]]=0,0,Indicadores[[#This Row],[UAI]]/Indicadores[[#This Row],[Ventas]])</f>
        <v>2.7796498106031367E-2</v>
      </c>
      <c r="Q977" s="837">
        <f>IFERROR(Indicadores[[#This Row],[Ventas]]/Indicadores[[#This Row],[Activos totales]],0)</f>
        <v>0.8685875870785511</v>
      </c>
    </row>
    <row r="978" spans="1:17" x14ac:dyDescent="0.3">
      <c r="A978" s="13" t="str">
        <f>MID(Indicadores[[#This Row],[CIIU]],2,4)</f>
        <v>2592</v>
      </c>
      <c r="B978" s="13" t="str">
        <f>Indicadores[[#This Row],[CIIU]]&amp;Indicadores[[#This Row],[Año]]</f>
        <v>C25922018</v>
      </c>
      <c r="C978" s="845" t="s">
        <v>2279</v>
      </c>
      <c r="D978" s="845" t="s">
        <v>2540</v>
      </c>
      <c r="E978" s="843">
        <v>2018</v>
      </c>
      <c r="F978" s="844" t="s">
        <v>2556</v>
      </c>
      <c r="G978" s="842" t="s">
        <v>2557</v>
      </c>
      <c r="H978" s="843" t="s">
        <v>2558</v>
      </c>
      <c r="I978" s="842" t="s">
        <v>2557</v>
      </c>
      <c r="J978" s="840">
        <v>-37592981</v>
      </c>
      <c r="K978" s="840">
        <v>-14415872</v>
      </c>
      <c r="L978" s="841">
        <v>1219552865</v>
      </c>
      <c r="M978" s="840">
        <v>809426393</v>
      </c>
      <c r="N978" s="839">
        <f>Indicadores[[#This Row],[Ventas]]/Indicadores[[#This Row],[Activos totales]]</f>
        <v>0.66370750807920087</v>
      </c>
      <c r="O978" s="837">
        <f>IF(Indicadores[[#This Row],[Ventas]]=0,0,Indicadores[[#This Row],[EBITDA]]/Indicadores[[#This Row],[Ventas]])</f>
        <v>-1.7809985101387718E-2</v>
      </c>
      <c r="P978" s="837">
        <f>IF(Indicadores[[#This Row],[Ventas]]=0,0,Indicadores[[#This Row],[UAI]]/Indicadores[[#This Row],[Ventas]])</f>
        <v>-4.6443977272186625E-2</v>
      </c>
      <c r="Q978" s="837">
        <f>IFERROR(Indicadores[[#This Row],[Ventas]]/Indicadores[[#This Row],[Activos totales]],0)</f>
        <v>0.66370750807920087</v>
      </c>
    </row>
    <row r="979" spans="1:17" x14ac:dyDescent="0.3">
      <c r="A979" s="13" t="str">
        <f>MID(Indicadores[[#This Row],[CIIU]],2,4)</f>
        <v>2593</v>
      </c>
      <c r="B979" s="13" t="str">
        <f>Indicadores[[#This Row],[CIIU]]&amp;Indicadores[[#This Row],[Año]]</f>
        <v>C25932018</v>
      </c>
      <c r="C979" s="845" t="s">
        <v>2279</v>
      </c>
      <c r="D979" s="845" t="s">
        <v>2540</v>
      </c>
      <c r="E979" s="843">
        <v>2018</v>
      </c>
      <c r="F979" s="844" t="s">
        <v>2559</v>
      </c>
      <c r="G979" s="842" t="s">
        <v>2560</v>
      </c>
      <c r="H979" s="843" t="s">
        <v>2561</v>
      </c>
      <c r="I979" s="842" t="s">
        <v>2560</v>
      </c>
      <c r="J979" s="840">
        <v>22872931</v>
      </c>
      <c r="K979" s="840">
        <v>30659840</v>
      </c>
      <c r="L979" s="841">
        <v>375725750</v>
      </c>
      <c r="M979" s="840">
        <v>432107445</v>
      </c>
      <c r="N979" s="839">
        <f>Indicadores[[#This Row],[Ventas]]/Indicadores[[#This Row],[Activos totales]]</f>
        <v>1.1500607690582825</v>
      </c>
      <c r="O979" s="837">
        <f>IF(Indicadores[[#This Row],[Ventas]]=0,0,Indicadores[[#This Row],[EBITDA]]/Indicadores[[#This Row],[Ventas]])</f>
        <v>7.0954204457180786E-2</v>
      </c>
      <c r="P979" s="837">
        <f>IF(Indicadores[[#This Row],[Ventas]]=0,0,Indicadores[[#This Row],[UAI]]/Indicadores[[#This Row],[Ventas]])</f>
        <v>5.2933434183250416E-2</v>
      </c>
      <c r="Q979" s="837">
        <f>IFERROR(Indicadores[[#This Row],[Ventas]]/Indicadores[[#This Row],[Activos totales]],0)</f>
        <v>1.1500607690582825</v>
      </c>
    </row>
    <row r="980" spans="1:17" x14ac:dyDescent="0.3">
      <c r="A980" s="13" t="str">
        <f>MID(Indicadores[[#This Row],[CIIU]],2,4)</f>
        <v>2599</v>
      </c>
      <c r="B980" s="13" t="str">
        <f>Indicadores[[#This Row],[CIIU]]&amp;Indicadores[[#This Row],[Año]]</f>
        <v>C25992018</v>
      </c>
      <c r="C980" s="845" t="s">
        <v>2279</v>
      </c>
      <c r="D980" s="845" t="s">
        <v>2540</v>
      </c>
      <c r="E980" s="843">
        <v>2018</v>
      </c>
      <c r="F980" s="844" t="s">
        <v>2562</v>
      </c>
      <c r="G980" s="842" t="s">
        <v>2563</v>
      </c>
      <c r="H980" s="843" t="s">
        <v>2564</v>
      </c>
      <c r="I980" s="842" t="s">
        <v>2563</v>
      </c>
      <c r="J980" s="840">
        <v>110784033</v>
      </c>
      <c r="K980" s="840">
        <v>166408394</v>
      </c>
      <c r="L980" s="841">
        <v>2930783103</v>
      </c>
      <c r="M980" s="840">
        <v>2740121016</v>
      </c>
      <c r="N980" s="839">
        <f>Indicadores[[#This Row],[Ventas]]/Indicadores[[#This Row],[Activos totales]]</f>
        <v>0.93494500264968938</v>
      </c>
      <c r="O980" s="837">
        <f>IF(Indicadores[[#This Row],[Ventas]]=0,0,Indicadores[[#This Row],[EBITDA]]/Indicadores[[#This Row],[Ventas]])</f>
        <v>6.0730308270443192E-2</v>
      </c>
      <c r="P980" s="837">
        <f>IF(Indicadores[[#This Row],[Ventas]]=0,0,Indicadores[[#This Row],[UAI]]/Indicadores[[#This Row],[Ventas]])</f>
        <v>4.0430343168463917E-2</v>
      </c>
      <c r="Q980" s="837">
        <f>IFERROR(Indicadores[[#This Row],[Ventas]]/Indicadores[[#This Row],[Activos totales]],0)</f>
        <v>0.93494500264968938</v>
      </c>
    </row>
    <row r="981" spans="1:17" x14ac:dyDescent="0.3">
      <c r="A981" s="13" t="str">
        <f>MID(Indicadores[[#This Row],[CIIU]],2,4)</f>
        <v>2610</v>
      </c>
      <c r="B981" s="13" t="str">
        <f>Indicadores[[#This Row],[CIIU]]&amp;Indicadores[[#This Row],[Año]]</f>
        <v>C26102018</v>
      </c>
      <c r="C981" s="845" t="s">
        <v>2279</v>
      </c>
      <c r="D981" s="845" t="s">
        <v>2565</v>
      </c>
      <c r="E981" s="843">
        <v>2018</v>
      </c>
      <c r="F981" s="844" t="s">
        <v>2566</v>
      </c>
      <c r="G981" s="842" t="s">
        <v>2567</v>
      </c>
      <c r="H981" s="843" t="s">
        <v>2568</v>
      </c>
      <c r="I981" s="842" t="s">
        <v>2567</v>
      </c>
      <c r="J981" s="840">
        <v>-1741559</v>
      </c>
      <c r="K981" s="840">
        <v>-581376</v>
      </c>
      <c r="L981" s="841">
        <v>28088713</v>
      </c>
      <c r="M981" s="840">
        <v>21327721</v>
      </c>
      <c r="N981" s="839">
        <f>Indicadores[[#This Row],[Ventas]]/Indicadores[[#This Row],[Activos totales]]</f>
        <v>0.75929861934222476</v>
      </c>
      <c r="O981" s="837">
        <f>IF(Indicadores[[#This Row],[Ventas]]=0,0,Indicadores[[#This Row],[EBITDA]]/Indicadores[[#This Row],[Ventas]])</f>
        <v>-2.7259171291672466E-2</v>
      </c>
      <c r="P981" s="837">
        <f>IF(Indicadores[[#This Row],[Ventas]]=0,0,Indicadores[[#This Row],[UAI]]/Indicadores[[#This Row],[Ventas]])</f>
        <v>-8.165706031131971E-2</v>
      </c>
      <c r="Q981" s="837">
        <f>IFERROR(Indicadores[[#This Row],[Ventas]]/Indicadores[[#This Row],[Activos totales]],0)</f>
        <v>0.75929861934222476</v>
      </c>
    </row>
    <row r="982" spans="1:17" x14ac:dyDescent="0.3">
      <c r="A982" s="13" t="str">
        <f>MID(Indicadores[[#This Row],[CIIU]],2,4)</f>
        <v>2620</v>
      </c>
      <c r="B982" s="13" t="str">
        <f>Indicadores[[#This Row],[CIIU]]&amp;Indicadores[[#This Row],[Año]]</f>
        <v>C26202018</v>
      </c>
      <c r="C982" s="845" t="s">
        <v>2279</v>
      </c>
      <c r="D982" s="845" t="s">
        <v>2565</v>
      </c>
      <c r="E982" s="843">
        <v>2018</v>
      </c>
      <c r="F982" s="844" t="s">
        <v>2569</v>
      </c>
      <c r="G982" s="842" t="s">
        <v>2570</v>
      </c>
      <c r="H982" s="843" t="s">
        <v>2571</v>
      </c>
      <c r="I982" s="842" t="s">
        <v>2570</v>
      </c>
      <c r="J982" s="840">
        <v>2106760</v>
      </c>
      <c r="K982" s="840">
        <v>2540351</v>
      </c>
      <c r="L982" s="841">
        <v>52945588</v>
      </c>
      <c r="M982" s="840">
        <v>91080740</v>
      </c>
      <c r="N982" s="839">
        <f>Indicadores[[#This Row],[Ventas]]/Indicadores[[#This Row],[Activos totales]]</f>
        <v>1.7202706295376302</v>
      </c>
      <c r="O982" s="837">
        <f>IF(Indicadores[[#This Row],[Ventas]]=0,0,Indicadores[[#This Row],[EBITDA]]/Indicadores[[#This Row],[Ventas]])</f>
        <v>2.7891198512440721E-2</v>
      </c>
      <c r="P982" s="837">
        <f>IF(Indicadores[[#This Row],[Ventas]]=0,0,Indicadores[[#This Row],[UAI]]/Indicadores[[#This Row],[Ventas]])</f>
        <v>2.313068602648595E-2</v>
      </c>
      <c r="Q982" s="837">
        <f>IFERROR(Indicadores[[#This Row],[Ventas]]/Indicadores[[#This Row],[Activos totales]],0)</f>
        <v>1.7202706295376302</v>
      </c>
    </row>
    <row r="983" spans="1:17" x14ac:dyDescent="0.3">
      <c r="A983" s="13" t="str">
        <f>MID(Indicadores[[#This Row],[CIIU]],2,4)</f>
        <v>2640</v>
      </c>
      <c r="B983" s="13" t="str">
        <f>Indicadores[[#This Row],[CIIU]]&amp;Indicadores[[#This Row],[Año]]</f>
        <v>C26402018</v>
      </c>
      <c r="C983" s="845" t="s">
        <v>2279</v>
      </c>
      <c r="D983" s="845" t="s">
        <v>2565</v>
      </c>
      <c r="E983" s="843">
        <v>2018</v>
      </c>
      <c r="F983" s="844" t="s">
        <v>3549</v>
      </c>
      <c r="G983" s="842" t="s">
        <v>3550</v>
      </c>
      <c r="H983" s="843" t="s">
        <v>3551</v>
      </c>
      <c r="I983" s="842" t="s">
        <v>3550</v>
      </c>
      <c r="J983" s="840">
        <v>2037832</v>
      </c>
      <c r="K983" s="840">
        <v>3916033</v>
      </c>
      <c r="L983" s="841">
        <v>153602963</v>
      </c>
      <c r="M983" s="840">
        <v>167710118</v>
      </c>
      <c r="N983" s="839">
        <f>Indicadores[[#This Row],[Ventas]]/Indicadores[[#This Row],[Activos totales]]</f>
        <v>1.0918416853716553</v>
      </c>
      <c r="O983" s="837">
        <f>IF(Indicadores[[#This Row],[Ventas]]=0,0,Indicadores[[#This Row],[EBITDA]]/Indicadores[[#This Row],[Ventas]])</f>
        <v>2.3350010403069419E-2</v>
      </c>
      <c r="P983" s="837">
        <f>IF(Indicadores[[#This Row],[Ventas]]=0,0,Indicadores[[#This Row],[UAI]]/Indicadores[[#This Row],[Ventas]])</f>
        <v>1.215091864642299E-2</v>
      </c>
      <c r="Q983" s="837">
        <f>IFERROR(Indicadores[[#This Row],[Ventas]]/Indicadores[[#This Row],[Activos totales]],0)</f>
        <v>1.0918416853716553</v>
      </c>
    </row>
    <row r="984" spans="1:17" x14ac:dyDescent="0.3">
      <c r="A984" s="13" t="str">
        <f>MID(Indicadores[[#This Row],[CIIU]],2,4)</f>
        <v>2651</v>
      </c>
      <c r="B984" s="13" t="str">
        <f>Indicadores[[#This Row],[CIIU]]&amp;Indicadores[[#This Row],[Año]]</f>
        <v>C26512018</v>
      </c>
      <c r="C984" s="845" t="s">
        <v>2279</v>
      </c>
      <c r="D984" s="845" t="s">
        <v>2565</v>
      </c>
      <c r="E984" s="843">
        <v>2018</v>
      </c>
      <c r="F984" s="844" t="s">
        <v>2572</v>
      </c>
      <c r="G984" s="842" t="s">
        <v>2573</v>
      </c>
      <c r="H984" s="843" t="s">
        <v>2574</v>
      </c>
      <c r="I984" s="842" t="s">
        <v>2573</v>
      </c>
      <c r="J984" s="840">
        <v>4275121</v>
      </c>
      <c r="K984" s="840">
        <v>5237499</v>
      </c>
      <c r="L984" s="841">
        <v>46657135</v>
      </c>
      <c r="M984" s="840">
        <v>58150759</v>
      </c>
      <c r="N984" s="839">
        <f>Indicadores[[#This Row],[Ventas]]/Indicadores[[#This Row],[Activos totales]]</f>
        <v>1.2463422582633932</v>
      </c>
      <c r="O984" s="837">
        <f>IF(Indicadores[[#This Row],[Ventas]]=0,0,Indicadores[[#This Row],[EBITDA]]/Indicadores[[#This Row],[Ventas]])</f>
        <v>9.0067594818495827E-2</v>
      </c>
      <c r="P984" s="837">
        <f>IF(Indicadores[[#This Row],[Ventas]]=0,0,Indicadores[[#This Row],[UAI]]/Indicadores[[#This Row],[Ventas]])</f>
        <v>7.3517888218793501E-2</v>
      </c>
      <c r="Q984" s="837">
        <f>IFERROR(Indicadores[[#This Row],[Ventas]]/Indicadores[[#This Row],[Activos totales]],0)</f>
        <v>1.2463422582633932</v>
      </c>
    </row>
    <row r="985" spans="1:17" x14ac:dyDescent="0.3">
      <c r="A985" s="13" t="str">
        <f>MID(Indicadores[[#This Row],[CIIU]],2,4)</f>
        <v>2660</v>
      </c>
      <c r="B985" s="13" t="str">
        <f>Indicadores[[#This Row],[CIIU]]&amp;Indicadores[[#This Row],[Año]]</f>
        <v>C26602018</v>
      </c>
      <c r="C985" s="845" t="s">
        <v>2279</v>
      </c>
      <c r="D985" s="845" t="s">
        <v>2565</v>
      </c>
      <c r="E985" s="843">
        <v>2018</v>
      </c>
      <c r="F985" s="844" t="s">
        <v>2575</v>
      </c>
      <c r="G985" s="842" t="s">
        <v>2576</v>
      </c>
      <c r="H985" s="843" t="s">
        <v>2577</v>
      </c>
      <c r="I985" s="842" t="s">
        <v>2576</v>
      </c>
      <c r="J985" s="840">
        <v>740432</v>
      </c>
      <c r="K985" s="840">
        <v>740432</v>
      </c>
      <c r="L985" s="841">
        <v>10849567</v>
      </c>
      <c r="M985" s="840">
        <v>8067510</v>
      </c>
      <c r="N985" s="839">
        <f>Indicadores[[#This Row],[Ventas]]/Indicadores[[#This Row],[Activos totales]]</f>
        <v>0.74357898338247053</v>
      </c>
      <c r="O985" s="837">
        <f>IF(Indicadores[[#This Row],[Ventas]]=0,0,Indicadores[[#This Row],[EBITDA]]/Indicadores[[#This Row],[Ventas]])</f>
        <v>9.1779495779986633E-2</v>
      </c>
      <c r="P985" s="837">
        <f>IF(Indicadores[[#This Row],[Ventas]]=0,0,Indicadores[[#This Row],[UAI]]/Indicadores[[#This Row],[Ventas]])</f>
        <v>9.1779495779986633E-2</v>
      </c>
      <c r="Q985" s="837">
        <f>IFERROR(Indicadores[[#This Row],[Ventas]]/Indicadores[[#This Row],[Activos totales]],0)</f>
        <v>0.74357898338247053</v>
      </c>
    </row>
    <row r="986" spans="1:17" x14ac:dyDescent="0.3">
      <c r="A986" s="13" t="str">
        <f>MID(Indicadores[[#This Row],[CIIU]],2,4)</f>
        <v>2670</v>
      </c>
      <c r="B986" s="13" t="str">
        <f>Indicadores[[#This Row],[CIIU]]&amp;Indicadores[[#This Row],[Año]]</f>
        <v>C26702018</v>
      </c>
      <c r="C986" s="845" t="s">
        <v>2279</v>
      </c>
      <c r="D986" s="845" t="s">
        <v>2565</v>
      </c>
      <c r="E986" s="843">
        <v>2018</v>
      </c>
      <c r="F986" s="844" t="s">
        <v>2578</v>
      </c>
      <c r="G986" s="842" t="s">
        <v>2579</v>
      </c>
      <c r="H986" s="843" t="s">
        <v>2580</v>
      </c>
      <c r="I986" s="842" t="s">
        <v>2579</v>
      </c>
      <c r="J986" s="840">
        <v>787242</v>
      </c>
      <c r="K986" s="840">
        <v>1182350</v>
      </c>
      <c r="L986" s="841">
        <v>21040265</v>
      </c>
      <c r="M986" s="840">
        <v>21418558</v>
      </c>
      <c r="N986" s="839">
        <f>Indicadores[[#This Row],[Ventas]]/Indicadores[[#This Row],[Activos totales]]</f>
        <v>1.017979478870632</v>
      </c>
      <c r="O986" s="837">
        <f>IF(Indicadores[[#This Row],[Ventas]]=0,0,Indicadores[[#This Row],[EBITDA]]/Indicadores[[#This Row],[Ventas]])</f>
        <v>5.5202128920163532E-2</v>
      </c>
      <c r="P986" s="837">
        <f>IF(Indicadores[[#This Row],[Ventas]]=0,0,Indicadores[[#This Row],[UAI]]/Indicadores[[#This Row],[Ventas]])</f>
        <v>3.6755135429752089E-2</v>
      </c>
      <c r="Q986" s="837">
        <f>IFERROR(Indicadores[[#This Row],[Ventas]]/Indicadores[[#This Row],[Activos totales]],0)</f>
        <v>1.017979478870632</v>
      </c>
    </row>
    <row r="987" spans="1:17" x14ac:dyDescent="0.3">
      <c r="A987" s="13" t="str">
        <f>MID(Indicadores[[#This Row],[CIIU]],2,4)</f>
        <v>2711</v>
      </c>
      <c r="B987" s="13" t="str">
        <f>Indicadores[[#This Row],[CIIU]]&amp;Indicadores[[#This Row],[Año]]</f>
        <v>C27112018</v>
      </c>
      <c r="C987" s="845" t="s">
        <v>2279</v>
      </c>
      <c r="D987" s="845" t="s">
        <v>2581</v>
      </c>
      <c r="E987" s="843">
        <v>2018</v>
      </c>
      <c r="F987" s="844" t="s">
        <v>2582</v>
      </c>
      <c r="G987" s="842" t="s">
        <v>2583</v>
      </c>
      <c r="H987" s="843" t="s">
        <v>2584</v>
      </c>
      <c r="I987" s="842" t="s">
        <v>2583</v>
      </c>
      <c r="J987" s="840">
        <v>19596736</v>
      </c>
      <c r="K987" s="840">
        <v>29916898</v>
      </c>
      <c r="L987" s="841">
        <v>738334600</v>
      </c>
      <c r="M987" s="840">
        <v>778505617</v>
      </c>
      <c r="N987" s="839">
        <f>Indicadores[[#This Row],[Ventas]]/Indicadores[[#This Row],[Activos totales]]</f>
        <v>1.0544076046280373</v>
      </c>
      <c r="O987" s="837">
        <f>IF(Indicadores[[#This Row],[Ventas]]=0,0,Indicadores[[#This Row],[EBITDA]]/Indicadores[[#This Row],[Ventas]])</f>
        <v>3.8428621896507136E-2</v>
      </c>
      <c r="P987" s="837">
        <f>IF(Indicadores[[#This Row],[Ventas]]=0,0,Indicadores[[#This Row],[UAI]]/Indicadores[[#This Row],[Ventas]])</f>
        <v>2.5172247408460253E-2</v>
      </c>
      <c r="Q987" s="837">
        <f>IFERROR(Indicadores[[#This Row],[Ventas]]/Indicadores[[#This Row],[Activos totales]],0)</f>
        <v>1.0544076046280373</v>
      </c>
    </row>
    <row r="988" spans="1:17" x14ac:dyDescent="0.3">
      <c r="A988" s="13" t="str">
        <f>MID(Indicadores[[#This Row],[CIIU]],2,4)</f>
        <v>2712</v>
      </c>
      <c r="B988" s="13" t="str">
        <f>Indicadores[[#This Row],[CIIU]]&amp;Indicadores[[#This Row],[Año]]</f>
        <v>C27122018</v>
      </c>
      <c r="C988" s="845" t="s">
        <v>2279</v>
      </c>
      <c r="D988" s="845" t="s">
        <v>2581</v>
      </c>
      <c r="E988" s="843">
        <v>2018</v>
      </c>
      <c r="F988" s="844" t="s">
        <v>2585</v>
      </c>
      <c r="G988" s="842" t="s">
        <v>2586</v>
      </c>
      <c r="H988" s="843" t="s">
        <v>2587</v>
      </c>
      <c r="I988" s="842" t="s">
        <v>2586</v>
      </c>
      <c r="J988" s="840">
        <v>6402733</v>
      </c>
      <c r="K988" s="840">
        <v>8409646</v>
      </c>
      <c r="L988" s="841">
        <v>163060289</v>
      </c>
      <c r="M988" s="840">
        <v>167537437</v>
      </c>
      <c r="N988" s="839">
        <f>Indicadores[[#This Row],[Ventas]]/Indicadores[[#This Row],[Activos totales]]</f>
        <v>1.0274570100878455</v>
      </c>
      <c r="O988" s="837">
        <f>IF(Indicadores[[#This Row],[Ventas]]=0,0,Indicadores[[#This Row],[EBITDA]]/Indicadores[[#This Row],[Ventas]])</f>
        <v>5.019562284458249E-2</v>
      </c>
      <c r="P988" s="837">
        <f>IF(Indicadores[[#This Row],[Ventas]]=0,0,Indicadores[[#This Row],[UAI]]/Indicadores[[#This Row],[Ventas]])</f>
        <v>3.8216730031509313E-2</v>
      </c>
      <c r="Q988" s="837">
        <f>IFERROR(Indicadores[[#This Row],[Ventas]]/Indicadores[[#This Row],[Activos totales]],0)</f>
        <v>1.0274570100878455</v>
      </c>
    </row>
    <row r="989" spans="1:17" x14ac:dyDescent="0.3">
      <c r="A989" s="13" t="str">
        <f>MID(Indicadores[[#This Row],[CIIU]],2,4)</f>
        <v>2720</v>
      </c>
      <c r="B989" s="13" t="str">
        <f>Indicadores[[#This Row],[CIIU]]&amp;Indicadores[[#This Row],[Año]]</f>
        <v>C27202018</v>
      </c>
      <c r="C989" s="845" t="s">
        <v>2279</v>
      </c>
      <c r="D989" s="845" t="s">
        <v>2581</v>
      </c>
      <c r="E989" s="843">
        <v>2018</v>
      </c>
      <c r="F989" s="844" t="s">
        <v>2588</v>
      </c>
      <c r="G989" s="838" t="s">
        <v>2589</v>
      </c>
      <c r="H989" s="843" t="s">
        <v>2590</v>
      </c>
      <c r="I989" s="842" t="s">
        <v>2589</v>
      </c>
      <c r="J989" s="840">
        <v>45943236</v>
      </c>
      <c r="K989" s="840">
        <v>62561309</v>
      </c>
      <c r="L989" s="841">
        <v>695510252</v>
      </c>
      <c r="M989" s="840">
        <v>716388970</v>
      </c>
      <c r="N989" s="839">
        <f>Indicadores[[#This Row],[Ventas]]/Indicadores[[#This Row],[Activos totales]]</f>
        <v>1.0300192814411597</v>
      </c>
      <c r="O989" s="837">
        <f>IF(Indicadores[[#This Row],[Ventas]]=0,0,Indicadores[[#This Row],[EBITDA]]/Indicadores[[#This Row],[Ventas]])</f>
        <v>8.7328688212494399E-2</v>
      </c>
      <c r="P989" s="837">
        <f>IF(Indicadores[[#This Row],[Ventas]]=0,0,Indicadores[[#This Row],[UAI]]/Indicadores[[#This Row],[Ventas]])</f>
        <v>6.4131690916458414E-2</v>
      </c>
      <c r="Q989" s="837">
        <f>IFERROR(Indicadores[[#This Row],[Ventas]]/Indicadores[[#This Row],[Activos totales]],0)</f>
        <v>1.0300192814411597</v>
      </c>
    </row>
    <row r="990" spans="1:17" x14ac:dyDescent="0.3">
      <c r="A990" s="13" t="str">
        <f>MID(Indicadores[[#This Row],[CIIU]],2,4)</f>
        <v>2731</v>
      </c>
      <c r="B990" s="13" t="str">
        <f>Indicadores[[#This Row],[CIIU]]&amp;Indicadores[[#This Row],[Año]]</f>
        <v>C27312018</v>
      </c>
      <c r="C990" s="845" t="s">
        <v>2279</v>
      </c>
      <c r="D990" s="845" t="s">
        <v>2581</v>
      </c>
      <c r="E990" s="843">
        <v>2018</v>
      </c>
      <c r="F990" s="844" t="s">
        <v>2591</v>
      </c>
      <c r="G990" s="842" t="s">
        <v>2592</v>
      </c>
      <c r="H990" s="843" t="s">
        <v>2593</v>
      </c>
      <c r="I990" s="842" t="s">
        <v>2592</v>
      </c>
      <c r="J990" s="840">
        <v>-6785243</v>
      </c>
      <c r="K990" s="840">
        <v>14655447</v>
      </c>
      <c r="L990" s="841">
        <v>906464068</v>
      </c>
      <c r="M990" s="840">
        <v>1065935675</v>
      </c>
      <c r="N990" s="839">
        <f>Indicadores[[#This Row],[Ventas]]/Indicadores[[#This Row],[Activos totales]]</f>
        <v>1.1759271135279021</v>
      </c>
      <c r="O990" s="837">
        <f>IF(Indicadores[[#This Row],[Ventas]]=0,0,Indicadores[[#This Row],[EBITDA]]/Indicadores[[#This Row],[Ventas]])</f>
        <v>1.3748903750688332E-2</v>
      </c>
      <c r="P990" s="837">
        <f>IF(Indicadores[[#This Row],[Ventas]]=0,0,Indicadores[[#This Row],[UAI]]/Indicadores[[#This Row],[Ventas]])</f>
        <v>-6.365527638429026E-3</v>
      </c>
      <c r="Q990" s="837">
        <f>IFERROR(Indicadores[[#This Row],[Ventas]]/Indicadores[[#This Row],[Activos totales]],0)</f>
        <v>1.1759271135279021</v>
      </c>
    </row>
    <row r="991" spans="1:17" x14ac:dyDescent="0.3">
      <c r="A991" s="13" t="str">
        <f>MID(Indicadores[[#This Row],[CIIU]],2,4)</f>
        <v>2732</v>
      </c>
      <c r="B991" s="13" t="str">
        <f>Indicadores[[#This Row],[CIIU]]&amp;Indicadores[[#This Row],[Año]]</f>
        <v>C27322018</v>
      </c>
      <c r="C991" s="845" t="s">
        <v>2279</v>
      </c>
      <c r="D991" s="845" t="s">
        <v>2581</v>
      </c>
      <c r="E991" s="843">
        <v>2018</v>
      </c>
      <c r="F991" s="844" t="s">
        <v>3552</v>
      </c>
      <c r="G991" s="838" t="s">
        <v>3553</v>
      </c>
      <c r="H991" s="843" t="s">
        <v>3554</v>
      </c>
      <c r="I991" s="842" t="s">
        <v>3553</v>
      </c>
      <c r="J991" s="840">
        <v>47476626</v>
      </c>
      <c r="K991" s="840">
        <v>51815210</v>
      </c>
      <c r="L991" s="841">
        <v>166790132</v>
      </c>
      <c r="M991" s="840">
        <v>178551402</v>
      </c>
      <c r="N991" s="839">
        <f>Indicadores[[#This Row],[Ventas]]/Indicadores[[#This Row],[Activos totales]]</f>
        <v>1.0705153827685681</v>
      </c>
      <c r="O991" s="837">
        <f>IF(Indicadores[[#This Row],[Ventas]]=0,0,Indicadores[[#This Row],[EBITDA]]/Indicadores[[#This Row],[Ventas]])</f>
        <v>0.29019772132620947</v>
      </c>
      <c r="P991" s="837">
        <f>IF(Indicadores[[#This Row],[Ventas]]=0,0,Indicadores[[#This Row],[UAI]]/Indicadores[[#This Row],[Ventas]])</f>
        <v>0.26589892584545488</v>
      </c>
      <c r="Q991" s="837">
        <f>IFERROR(Indicadores[[#This Row],[Ventas]]/Indicadores[[#This Row],[Activos totales]],0)</f>
        <v>1.0705153827685681</v>
      </c>
    </row>
    <row r="992" spans="1:17" x14ac:dyDescent="0.3">
      <c r="A992" s="13" t="str">
        <f>MID(Indicadores[[#This Row],[CIIU]],2,4)</f>
        <v>2740</v>
      </c>
      <c r="B992" s="13" t="str">
        <f>Indicadores[[#This Row],[CIIU]]&amp;Indicadores[[#This Row],[Año]]</f>
        <v>C27402018</v>
      </c>
      <c r="C992" s="845" t="s">
        <v>2279</v>
      </c>
      <c r="D992" s="845" t="s">
        <v>2581</v>
      </c>
      <c r="E992" s="843">
        <v>2018</v>
      </c>
      <c r="F992" s="844" t="s">
        <v>2594</v>
      </c>
      <c r="G992" s="842" t="s">
        <v>2595</v>
      </c>
      <c r="H992" s="843" t="s">
        <v>2596</v>
      </c>
      <c r="I992" s="842" t="s">
        <v>2595</v>
      </c>
      <c r="J992" s="840">
        <v>23417027</v>
      </c>
      <c r="K992" s="840">
        <v>27333463</v>
      </c>
      <c r="L992" s="841">
        <v>386921853</v>
      </c>
      <c r="M992" s="840">
        <v>359597069</v>
      </c>
      <c r="N992" s="839">
        <f>Indicadores[[#This Row],[Ventas]]/Indicadores[[#This Row],[Activos totales]]</f>
        <v>0.92937906249508218</v>
      </c>
      <c r="O992" s="837">
        <f>IF(Indicadores[[#This Row],[Ventas]]=0,0,Indicadores[[#This Row],[EBITDA]]/Indicadores[[#This Row],[Ventas]])</f>
        <v>7.6011362039216171E-2</v>
      </c>
      <c r="P992" s="837">
        <f>IF(Indicadores[[#This Row],[Ventas]]=0,0,Indicadores[[#This Row],[UAI]]/Indicadores[[#This Row],[Ventas]])</f>
        <v>6.5120183168122542E-2</v>
      </c>
      <c r="Q992" s="837">
        <f>IFERROR(Indicadores[[#This Row],[Ventas]]/Indicadores[[#This Row],[Activos totales]],0)</f>
        <v>0.92937906249508218</v>
      </c>
    </row>
    <row r="993" spans="1:17" x14ac:dyDescent="0.3">
      <c r="A993" s="13" t="str">
        <f>MID(Indicadores[[#This Row],[CIIU]],2,4)</f>
        <v>2750</v>
      </c>
      <c r="B993" s="13" t="str">
        <f>Indicadores[[#This Row],[CIIU]]&amp;Indicadores[[#This Row],[Año]]</f>
        <v>C27502018</v>
      </c>
      <c r="C993" s="845" t="s">
        <v>2279</v>
      </c>
      <c r="D993" s="845" t="s">
        <v>2581</v>
      </c>
      <c r="E993" s="843">
        <v>2018</v>
      </c>
      <c r="F993" s="844" t="s">
        <v>2597</v>
      </c>
      <c r="G993" s="842" t="s">
        <v>2598</v>
      </c>
      <c r="H993" s="843" t="s">
        <v>2599</v>
      </c>
      <c r="I993" s="842" t="s">
        <v>2598</v>
      </c>
      <c r="J993" s="840">
        <v>74274959</v>
      </c>
      <c r="K993" s="840">
        <v>137257190</v>
      </c>
      <c r="L993" s="841">
        <v>2570610470</v>
      </c>
      <c r="M993" s="840">
        <v>2541998587</v>
      </c>
      <c r="N993" s="839">
        <f>Indicadores[[#This Row],[Ventas]]/Indicadores[[#This Row],[Activos totales]]</f>
        <v>0.98886961547309038</v>
      </c>
      <c r="O993" s="837">
        <f>IF(Indicadores[[#This Row],[Ventas]]=0,0,Indicadores[[#This Row],[EBITDA]]/Indicadores[[#This Row],[Ventas]])</f>
        <v>5.3995777457133576E-2</v>
      </c>
      <c r="P993" s="837">
        <f>IF(Indicadores[[#This Row],[Ventas]]=0,0,Indicadores[[#This Row],[UAI]]/Indicadores[[#This Row],[Ventas]])</f>
        <v>2.9219118916843048E-2</v>
      </c>
      <c r="Q993" s="837">
        <f>IFERROR(Indicadores[[#This Row],[Ventas]]/Indicadores[[#This Row],[Activos totales]],0)</f>
        <v>0.98886961547309038</v>
      </c>
    </row>
    <row r="994" spans="1:17" x14ac:dyDescent="0.3">
      <c r="A994" s="13" t="str">
        <f>MID(Indicadores[[#This Row],[CIIU]],2,4)</f>
        <v>2790</v>
      </c>
      <c r="B994" s="13" t="str">
        <f>Indicadores[[#This Row],[CIIU]]&amp;Indicadores[[#This Row],[Año]]</f>
        <v>C27902018</v>
      </c>
      <c r="C994" s="845" t="s">
        <v>2279</v>
      </c>
      <c r="D994" s="845" t="s">
        <v>2581</v>
      </c>
      <c r="E994" s="843">
        <v>2018</v>
      </c>
      <c r="F994" s="844" t="s">
        <v>2600</v>
      </c>
      <c r="G994" s="842" t="s">
        <v>2601</v>
      </c>
      <c r="H994" s="843" t="s">
        <v>2602</v>
      </c>
      <c r="I994" s="842" t="s">
        <v>2601</v>
      </c>
      <c r="J994" s="840">
        <v>23994286</v>
      </c>
      <c r="K994" s="840">
        <v>34209377</v>
      </c>
      <c r="L994" s="841">
        <v>799200564</v>
      </c>
      <c r="M994" s="840">
        <v>1179271987</v>
      </c>
      <c r="N994" s="839">
        <f>Indicadores[[#This Row],[Ventas]]/Indicadores[[#This Row],[Activos totales]]</f>
        <v>1.4755645079850068</v>
      </c>
      <c r="O994" s="837">
        <f>IF(Indicadores[[#This Row],[Ventas]]=0,0,Indicadores[[#This Row],[EBITDA]]/Indicadores[[#This Row],[Ventas]])</f>
        <v>2.9008894790273687E-2</v>
      </c>
      <c r="P994" s="837">
        <f>IF(Indicadores[[#This Row],[Ventas]]=0,0,Indicadores[[#This Row],[UAI]]/Indicadores[[#This Row],[Ventas]])</f>
        <v>2.0346693777607727E-2</v>
      </c>
      <c r="Q994" s="837">
        <f>IFERROR(Indicadores[[#This Row],[Ventas]]/Indicadores[[#This Row],[Activos totales]],0)</f>
        <v>1.4755645079850068</v>
      </c>
    </row>
    <row r="995" spans="1:17" x14ac:dyDescent="0.3">
      <c r="A995" s="13" t="str">
        <f>MID(Indicadores[[#This Row],[CIIU]],2,4)</f>
        <v>2812</v>
      </c>
      <c r="B995" s="13" t="str">
        <f>Indicadores[[#This Row],[CIIU]]&amp;Indicadores[[#This Row],[Año]]</f>
        <v>C28122018</v>
      </c>
      <c r="C995" s="845" t="s">
        <v>2279</v>
      </c>
      <c r="D995" s="845" t="s">
        <v>2603</v>
      </c>
      <c r="E995" s="843">
        <v>2018</v>
      </c>
      <c r="F995" s="844" t="s">
        <v>2607</v>
      </c>
      <c r="G995" s="842" t="s">
        <v>2608</v>
      </c>
      <c r="H995" s="843" t="s">
        <v>2609</v>
      </c>
      <c r="I995" s="842" t="s">
        <v>2608</v>
      </c>
      <c r="J995" s="840">
        <v>968478</v>
      </c>
      <c r="K995" s="840">
        <v>1315048</v>
      </c>
      <c r="L995" s="841">
        <v>28022566</v>
      </c>
      <c r="M995" s="840">
        <v>21694488</v>
      </c>
      <c r="N995" s="839">
        <f>Indicadores[[#This Row],[Ventas]]/Indicadores[[#This Row],[Activos totales]]</f>
        <v>0.77417920971262943</v>
      </c>
      <c r="O995" s="837">
        <f>IF(Indicadores[[#This Row],[Ventas]]=0,0,Indicadores[[#This Row],[EBITDA]]/Indicadores[[#This Row],[Ventas]])</f>
        <v>6.0616687519889842E-2</v>
      </c>
      <c r="P995" s="837">
        <f>IF(Indicadores[[#This Row],[Ventas]]=0,0,Indicadores[[#This Row],[UAI]]/Indicadores[[#This Row],[Ventas]])</f>
        <v>4.4641661974230508E-2</v>
      </c>
      <c r="Q995" s="837">
        <f>IFERROR(Indicadores[[#This Row],[Ventas]]/Indicadores[[#This Row],[Activos totales]],0)</f>
        <v>0.77417920971262943</v>
      </c>
    </row>
    <row r="996" spans="1:17" x14ac:dyDescent="0.3">
      <c r="A996" s="13" t="str">
        <f>MID(Indicadores[[#This Row],[CIIU]],2,4)</f>
        <v>2813</v>
      </c>
      <c r="B996" s="13" t="str">
        <f>Indicadores[[#This Row],[CIIU]]&amp;Indicadores[[#This Row],[Año]]</f>
        <v>C28132018</v>
      </c>
      <c r="C996" s="845" t="s">
        <v>2279</v>
      </c>
      <c r="D996" s="845" t="s">
        <v>2603</v>
      </c>
      <c r="E996" s="843">
        <v>2018</v>
      </c>
      <c r="F996" s="844" t="s">
        <v>2610</v>
      </c>
      <c r="G996" s="842" t="s">
        <v>2611</v>
      </c>
      <c r="H996" s="843" t="s">
        <v>2612</v>
      </c>
      <c r="I996" s="842" t="s">
        <v>2611</v>
      </c>
      <c r="J996" s="840">
        <v>28117840</v>
      </c>
      <c r="K996" s="840">
        <v>31482114</v>
      </c>
      <c r="L996" s="841">
        <v>327256496</v>
      </c>
      <c r="M996" s="840">
        <v>283182428</v>
      </c>
      <c r="N996" s="839">
        <f>Indicadores[[#This Row],[Ventas]]/Indicadores[[#This Row],[Activos totales]]</f>
        <v>0.86532255726407337</v>
      </c>
      <c r="O996" s="837">
        <f>IF(Indicadores[[#This Row],[Ventas]]=0,0,Indicadores[[#This Row],[EBITDA]]/Indicadores[[#This Row],[Ventas]])</f>
        <v>0.11117255481685467</v>
      </c>
      <c r="P996" s="837">
        <f>IF(Indicadores[[#This Row],[Ventas]]=0,0,Indicadores[[#This Row],[UAI]]/Indicadores[[#This Row],[Ventas]])</f>
        <v>9.9292319084148817E-2</v>
      </c>
      <c r="Q996" s="837">
        <f>IFERROR(Indicadores[[#This Row],[Ventas]]/Indicadores[[#This Row],[Activos totales]],0)</f>
        <v>0.86532255726407337</v>
      </c>
    </row>
    <row r="997" spans="1:17" x14ac:dyDescent="0.3">
      <c r="A997" s="13" t="str">
        <f>MID(Indicadores[[#This Row],[CIIU]],2,4)</f>
        <v>2814</v>
      </c>
      <c r="B997" s="13" t="str">
        <f>Indicadores[[#This Row],[CIIU]]&amp;Indicadores[[#This Row],[Año]]</f>
        <v>C28142018</v>
      </c>
      <c r="C997" s="845" t="s">
        <v>2279</v>
      </c>
      <c r="D997" s="845" t="s">
        <v>2603</v>
      </c>
      <c r="E997" s="843">
        <v>2018</v>
      </c>
      <c r="F997" s="844" t="s">
        <v>3555</v>
      </c>
      <c r="G997" s="842" t="s">
        <v>3556</v>
      </c>
      <c r="H997" s="843" t="s">
        <v>3557</v>
      </c>
      <c r="I997" s="842" t="s">
        <v>3556</v>
      </c>
      <c r="J997" s="840">
        <v>328398</v>
      </c>
      <c r="K997" s="840">
        <v>328398</v>
      </c>
      <c r="L997" s="841">
        <v>15139871</v>
      </c>
      <c r="M997" s="840">
        <v>3919361</v>
      </c>
      <c r="N997" s="839">
        <f>Indicadores[[#This Row],[Ventas]]/Indicadores[[#This Row],[Activos totales]]</f>
        <v>0.258876776426959</v>
      </c>
      <c r="O997" s="837">
        <f>IF(Indicadores[[#This Row],[Ventas]]=0,0,Indicadores[[#This Row],[EBITDA]]/Indicadores[[#This Row],[Ventas]])</f>
        <v>8.3788658406306532E-2</v>
      </c>
      <c r="P997" s="837">
        <f>IF(Indicadores[[#This Row],[Ventas]]=0,0,Indicadores[[#This Row],[UAI]]/Indicadores[[#This Row],[Ventas]])</f>
        <v>8.3788658406306532E-2</v>
      </c>
      <c r="Q997" s="837">
        <f>IFERROR(Indicadores[[#This Row],[Ventas]]/Indicadores[[#This Row],[Activos totales]],0)</f>
        <v>0.258876776426959</v>
      </c>
    </row>
    <row r="998" spans="1:17" x14ac:dyDescent="0.3">
      <c r="A998" s="13" t="str">
        <f>MID(Indicadores[[#This Row],[CIIU]],2,4)</f>
        <v>2815</v>
      </c>
      <c r="B998" s="13" t="str">
        <f>Indicadores[[#This Row],[CIIU]]&amp;Indicadores[[#This Row],[Año]]</f>
        <v>C28152018</v>
      </c>
      <c r="C998" s="845" t="s">
        <v>2279</v>
      </c>
      <c r="D998" s="845" t="s">
        <v>2603</v>
      </c>
      <c r="E998" s="843">
        <v>2018</v>
      </c>
      <c r="F998" s="844" t="s">
        <v>2613</v>
      </c>
      <c r="G998" s="842" t="s">
        <v>2614</v>
      </c>
      <c r="H998" s="843" t="s">
        <v>2615</v>
      </c>
      <c r="I998" s="842" t="s">
        <v>2614</v>
      </c>
      <c r="J998" s="840">
        <v>659972</v>
      </c>
      <c r="K998" s="840">
        <v>815187</v>
      </c>
      <c r="L998" s="841">
        <v>6338150</v>
      </c>
      <c r="M998" s="840">
        <v>9046259</v>
      </c>
      <c r="N998" s="839">
        <f>Indicadores[[#This Row],[Ventas]]/Indicadores[[#This Row],[Activos totales]]</f>
        <v>1.4272712068979119</v>
      </c>
      <c r="O998" s="837">
        <f>IF(Indicadores[[#This Row],[Ventas]]=0,0,Indicadores[[#This Row],[EBITDA]]/Indicadores[[#This Row],[Ventas]])</f>
        <v>9.0113161694795607E-2</v>
      </c>
      <c r="P998" s="837">
        <f>IF(Indicadores[[#This Row],[Ventas]]=0,0,Indicadores[[#This Row],[UAI]]/Indicadores[[#This Row],[Ventas]])</f>
        <v>7.2955240392741358E-2</v>
      </c>
      <c r="Q998" s="837">
        <f>IFERROR(Indicadores[[#This Row],[Ventas]]/Indicadores[[#This Row],[Activos totales]],0)</f>
        <v>1.4272712068979119</v>
      </c>
    </row>
    <row r="999" spans="1:17" x14ac:dyDescent="0.3">
      <c r="A999" s="13" t="str">
        <f>MID(Indicadores[[#This Row],[CIIU]],2,4)</f>
        <v>2816</v>
      </c>
      <c r="B999" s="13" t="str">
        <f>Indicadores[[#This Row],[CIIU]]&amp;Indicadores[[#This Row],[Año]]</f>
        <v>C28162018</v>
      </c>
      <c r="C999" s="845" t="s">
        <v>2279</v>
      </c>
      <c r="D999" s="845" t="s">
        <v>2603</v>
      </c>
      <c r="E999" s="843">
        <v>2018</v>
      </c>
      <c r="F999" s="844" t="s">
        <v>2616</v>
      </c>
      <c r="G999" s="842" t="s">
        <v>2617</v>
      </c>
      <c r="H999" s="843" t="s">
        <v>2618</v>
      </c>
      <c r="I999" s="842" t="s">
        <v>2617</v>
      </c>
      <c r="J999" s="840">
        <v>3745771</v>
      </c>
      <c r="K999" s="840">
        <v>6163277</v>
      </c>
      <c r="L999" s="841">
        <v>117074760</v>
      </c>
      <c r="M999" s="840">
        <v>131287956</v>
      </c>
      <c r="N999" s="839">
        <f>Indicadores[[#This Row],[Ventas]]/Indicadores[[#This Row],[Activos totales]]</f>
        <v>1.1214027344578796</v>
      </c>
      <c r="O999" s="837">
        <f>IF(Indicadores[[#This Row],[Ventas]]=0,0,Indicadores[[#This Row],[EBITDA]]/Indicadores[[#This Row],[Ventas]])</f>
        <v>4.6944725074400583E-2</v>
      </c>
      <c r="P999" s="837">
        <f>IF(Indicadores[[#This Row],[Ventas]]=0,0,Indicadores[[#This Row],[UAI]]/Indicadores[[#This Row],[Ventas]])</f>
        <v>2.8530956792411331E-2</v>
      </c>
      <c r="Q999" s="837">
        <f>IFERROR(Indicadores[[#This Row],[Ventas]]/Indicadores[[#This Row],[Activos totales]],0)</f>
        <v>1.1214027344578796</v>
      </c>
    </row>
    <row r="1000" spans="1:17" x14ac:dyDescent="0.3">
      <c r="A1000" s="13" t="str">
        <f>MID(Indicadores[[#This Row],[CIIU]],2,4)</f>
        <v>2819</v>
      </c>
      <c r="B1000" s="13" t="str">
        <f>Indicadores[[#This Row],[CIIU]]&amp;Indicadores[[#This Row],[Año]]</f>
        <v>C28192018</v>
      </c>
      <c r="C1000" s="845" t="s">
        <v>2279</v>
      </c>
      <c r="D1000" s="845" t="s">
        <v>2603</v>
      </c>
      <c r="E1000" s="843">
        <v>2018</v>
      </c>
      <c r="F1000" s="844" t="s">
        <v>2619</v>
      </c>
      <c r="G1000" s="842" t="s">
        <v>2620</v>
      </c>
      <c r="H1000" s="843" t="s">
        <v>2621</v>
      </c>
      <c r="I1000" s="842" t="s">
        <v>2620</v>
      </c>
      <c r="J1000" s="840">
        <v>20315345.420000002</v>
      </c>
      <c r="K1000" s="840">
        <v>26179878.030000001</v>
      </c>
      <c r="L1000" s="841">
        <v>625171351.5</v>
      </c>
      <c r="M1000" s="840">
        <v>493561913.44999999</v>
      </c>
      <c r="N1000" s="839">
        <f>Indicadores[[#This Row],[Ventas]]/Indicadores[[#This Row],[Activos totales]]</f>
        <v>0.78948261507149375</v>
      </c>
      <c r="O1000" s="837">
        <f>IF(Indicadores[[#This Row],[Ventas]]=0,0,Indicadores[[#This Row],[EBITDA]]/Indicadores[[#This Row],[Ventas]])</f>
        <v>5.3042743608400687E-2</v>
      </c>
      <c r="P1000" s="837">
        <f>IF(Indicadores[[#This Row],[Ventas]]=0,0,Indicadores[[#This Row],[UAI]]/Indicadores[[#This Row],[Ventas]])</f>
        <v>4.1160682918168559E-2</v>
      </c>
      <c r="Q1000" s="837">
        <f>IFERROR(Indicadores[[#This Row],[Ventas]]/Indicadores[[#This Row],[Activos totales]],0)</f>
        <v>0.78948261507149375</v>
      </c>
    </row>
    <row r="1001" spans="1:17" x14ac:dyDescent="0.3">
      <c r="A1001" s="13" t="str">
        <f>MID(Indicadores[[#This Row],[CIIU]],2,4)</f>
        <v>2821</v>
      </c>
      <c r="B1001" s="13" t="str">
        <f>Indicadores[[#This Row],[CIIU]]&amp;Indicadores[[#This Row],[Año]]</f>
        <v>C28212018</v>
      </c>
      <c r="C1001" s="845" t="s">
        <v>2279</v>
      </c>
      <c r="D1001" s="845" t="s">
        <v>2603</v>
      </c>
      <c r="E1001" s="843">
        <v>2018</v>
      </c>
      <c r="F1001" s="844" t="s">
        <v>2622</v>
      </c>
      <c r="G1001" s="842" t="s">
        <v>2623</v>
      </c>
      <c r="H1001" s="843" t="s">
        <v>2624</v>
      </c>
      <c r="I1001" s="842" t="s">
        <v>2623</v>
      </c>
      <c r="J1001" s="840">
        <v>8877330</v>
      </c>
      <c r="K1001" s="840">
        <v>10678237</v>
      </c>
      <c r="L1001" s="841">
        <v>137537146</v>
      </c>
      <c r="M1001" s="840">
        <v>126578197</v>
      </c>
      <c r="N1001" s="839">
        <f>Indicadores[[#This Row],[Ventas]]/Indicadores[[#This Row],[Activos totales]]</f>
        <v>0.92032007847538144</v>
      </c>
      <c r="O1001" s="837">
        <f>IF(Indicadores[[#This Row],[Ventas]]=0,0,Indicadores[[#This Row],[EBITDA]]/Indicadores[[#This Row],[Ventas]])</f>
        <v>8.4360792404082036E-2</v>
      </c>
      <c r="P1001" s="837">
        <f>IF(Indicadores[[#This Row],[Ventas]]=0,0,Indicadores[[#This Row],[UAI]]/Indicadores[[#This Row],[Ventas]])</f>
        <v>7.0133168352840419E-2</v>
      </c>
      <c r="Q1001" s="837">
        <f>IFERROR(Indicadores[[#This Row],[Ventas]]/Indicadores[[#This Row],[Activos totales]],0)</f>
        <v>0.92032007847538144</v>
      </c>
    </row>
    <row r="1002" spans="1:17" x14ac:dyDescent="0.3">
      <c r="A1002" s="13" t="str">
        <f>MID(Indicadores[[#This Row],[CIIU]],2,4)</f>
        <v>2822</v>
      </c>
      <c r="B1002" s="13" t="str">
        <f>Indicadores[[#This Row],[CIIU]]&amp;Indicadores[[#This Row],[Año]]</f>
        <v>C28222018</v>
      </c>
      <c r="C1002" s="845" t="s">
        <v>2279</v>
      </c>
      <c r="D1002" s="845" t="s">
        <v>2603</v>
      </c>
      <c r="E1002" s="843">
        <v>2018</v>
      </c>
      <c r="F1002" s="844" t="s">
        <v>2625</v>
      </c>
      <c r="G1002" s="842" t="s">
        <v>2626</v>
      </c>
      <c r="H1002" s="843" t="s">
        <v>2627</v>
      </c>
      <c r="I1002" s="842" t="s">
        <v>2626</v>
      </c>
      <c r="J1002" s="840">
        <v>-479387</v>
      </c>
      <c r="K1002" s="840">
        <v>938378</v>
      </c>
      <c r="L1002" s="841">
        <v>60814208</v>
      </c>
      <c r="M1002" s="840">
        <v>82470215</v>
      </c>
      <c r="N1002" s="839">
        <f>Indicadores[[#This Row],[Ventas]]/Indicadores[[#This Row],[Activos totales]]</f>
        <v>1.3561011104510314</v>
      </c>
      <c r="O1002" s="837">
        <f>IF(Indicadores[[#This Row],[Ventas]]=0,0,Indicadores[[#This Row],[EBITDA]]/Indicadores[[#This Row],[Ventas]])</f>
        <v>1.137838673028802E-2</v>
      </c>
      <c r="P1002" s="837">
        <f>IF(Indicadores[[#This Row],[Ventas]]=0,0,Indicadores[[#This Row],[UAI]]/Indicadores[[#This Row],[Ventas]])</f>
        <v>-5.8128501301954894E-3</v>
      </c>
      <c r="Q1002" s="837">
        <f>IFERROR(Indicadores[[#This Row],[Ventas]]/Indicadores[[#This Row],[Activos totales]],0)</f>
        <v>1.3561011104510314</v>
      </c>
    </row>
    <row r="1003" spans="1:17" x14ac:dyDescent="0.3">
      <c r="A1003" s="13" t="str">
        <f>MID(Indicadores[[#This Row],[CIIU]],2,4)</f>
        <v>2823</v>
      </c>
      <c r="B1003" s="13" t="str">
        <f>Indicadores[[#This Row],[CIIU]]&amp;Indicadores[[#This Row],[Año]]</f>
        <v>C28232018</v>
      </c>
      <c r="C1003" s="845" t="s">
        <v>2279</v>
      </c>
      <c r="D1003" s="845" t="s">
        <v>2603</v>
      </c>
      <c r="E1003" s="843">
        <v>2018</v>
      </c>
      <c r="F1003" s="844" t="s">
        <v>2628</v>
      </c>
      <c r="G1003" s="842" t="s">
        <v>2629</v>
      </c>
      <c r="H1003" s="843" t="s">
        <v>2630</v>
      </c>
      <c r="I1003" s="842" t="s">
        <v>2629</v>
      </c>
      <c r="J1003" s="840">
        <v>488656</v>
      </c>
      <c r="K1003" s="840">
        <v>703258</v>
      </c>
      <c r="L1003" s="841">
        <v>10128229</v>
      </c>
      <c r="M1003" s="840">
        <v>3204417</v>
      </c>
      <c r="N1003" s="839">
        <f>Indicadores[[#This Row],[Ventas]]/Indicadores[[#This Row],[Activos totales]]</f>
        <v>0.31638473024257252</v>
      </c>
      <c r="O1003" s="837">
        <f>IF(Indicadores[[#This Row],[Ventas]]=0,0,Indicadores[[#This Row],[EBITDA]]/Indicadores[[#This Row],[Ventas]])</f>
        <v>0.2194651944487874</v>
      </c>
      <c r="P1003" s="837">
        <f>IF(Indicadores[[#This Row],[Ventas]]=0,0,Indicadores[[#This Row],[UAI]]/Indicadores[[#This Row],[Ventas]])</f>
        <v>0.1524945099217736</v>
      </c>
      <c r="Q1003" s="837">
        <f>IFERROR(Indicadores[[#This Row],[Ventas]]/Indicadores[[#This Row],[Activos totales]],0)</f>
        <v>0.31638473024257252</v>
      </c>
    </row>
    <row r="1004" spans="1:17" x14ac:dyDescent="0.3">
      <c r="A1004" s="13" t="str">
        <f>MID(Indicadores[[#This Row],[CIIU]],2,4)</f>
        <v>2824</v>
      </c>
      <c r="B1004" s="13" t="str">
        <f>Indicadores[[#This Row],[CIIU]]&amp;Indicadores[[#This Row],[Año]]</f>
        <v>C28242018</v>
      </c>
      <c r="C1004" s="845" t="s">
        <v>2279</v>
      </c>
      <c r="D1004" s="845" t="s">
        <v>2603</v>
      </c>
      <c r="E1004" s="843">
        <v>2018</v>
      </c>
      <c r="F1004" s="844" t="s">
        <v>2631</v>
      </c>
      <c r="G1004" s="842" t="s">
        <v>2632</v>
      </c>
      <c r="H1004" s="843" t="s">
        <v>2633</v>
      </c>
      <c r="I1004" s="842" t="s">
        <v>2632</v>
      </c>
      <c r="J1004" s="840">
        <v>-3330789</v>
      </c>
      <c r="K1004" s="840">
        <v>-684042</v>
      </c>
      <c r="L1004" s="841">
        <v>74688307</v>
      </c>
      <c r="M1004" s="840">
        <v>80829197</v>
      </c>
      <c r="N1004" s="839">
        <f>Indicadores[[#This Row],[Ventas]]/Indicadores[[#This Row],[Activos totales]]</f>
        <v>1.082220232947575</v>
      </c>
      <c r="O1004" s="837">
        <f>IF(Indicadores[[#This Row],[Ventas]]=0,0,Indicadores[[#This Row],[EBITDA]]/Indicadores[[#This Row],[Ventas]])</f>
        <v>-8.462808309230142E-3</v>
      </c>
      <c r="P1004" s="837">
        <f>IF(Indicadores[[#This Row],[Ventas]]=0,0,Indicadores[[#This Row],[UAI]]/Indicadores[[#This Row],[Ventas]])</f>
        <v>-4.1207745760483062E-2</v>
      </c>
      <c r="Q1004" s="837">
        <f>IFERROR(Indicadores[[#This Row],[Ventas]]/Indicadores[[#This Row],[Activos totales]],0)</f>
        <v>1.082220232947575</v>
      </c>
    </row>
    <row r="1005" spans="1:17" x14ac:dyDescent="0.3">
      <c r="A1005" s="13" t="str">
        <f>MID(Indicadores[[#This Row],[CIIU]],2,4)</f>
        <v>2825</v>
      </c>
      <c r="B1005" s="13" t="str">
        <f>Indicadores[[#This Row],[CIIU]]&amp;Indicadores[[#This Row],[Año]]</f>
        <v>C28252018</v>
      </c>
      <c r="C1005" s="845" t="s">
        <v>2279</v>
      </c>
      <c r="D1005" s="845" t="s">
        <v>2603</v>
      </c>
      <c r="E1005" s="843">
        <v>2018</v>
      </c>
      <c r="F1005" s="844" t="s">
        <v>2634</v>
      </c>
      <c r="G1005" s="842" t="s">
        <v>2635</v>
      </c>
      <c r="H1005" s="843" t="s">
        <v>2636</v>
      </c>
      <c r="I1005" s="842" t="s">
        <v>2635</v>
      </c>
      <c r="J1005" s="840">
        <v>4428481</v>
      </c>
      <c r="K1005" s="840">
        <v>6296762</v>
      </c>
      <c r="L1005" s="841">
        <v>105385811</v>
      </c>
      <c r="M1005" s="840">
        <v>70830889</v>
      </c>
      <c r="N1005" s="839">
        <f>Indicadores[[#This Row],[Ventas]]/Indicadores[[#This Row],[Activos totales]]</f>
        <v>0.67211029955446278</v>
      </c>
      <c r="O1005" s="837">
        <f>IF(Indicadores[[#This Row],[Ventas]]=0,0,Indicadores[[#This Row],[EBITDA]]/Indicadores[[#This Row],[Ventas]])</f>
        <v>8.889853126084582E-2</v>
      </c>
      <c r="P1005" s="837">
        <f>IF(Indicadores[[#This Row],[Ventas]]=0,0,Indicadores[[#This Row],[UAI]]/Indicadores[[#This Row],[Ventas]])</f>
        <v>6.2521889284772356E-2</v>
      </c>
      <c r="Q1005" s="837">
        <f>IFERROR(Indicadores[[#This Row],[Ventas]]/Indicadores[[#This Row],[Activos totales]],0)</f>
        <v>0.67211029955446278</v>
      </c>
    </row>
    <row r="1006" spans="1:17" x14ac:dyDescent="0.3">
      <c r="A1006" s="13" t="str">
        <f>MID(Indicadores[[#This Row],[CIIU]],2,4)</f>
        <v>2829</v>
      </c>
      <c r="B1006" s="13" t="str">
        <f>Indicadores[[#This Row],[CIIU]]&amp;Indicadores[[#This Row],[Año]]</f>
        <v>C28292018</v>
      </c>
      <c r="C1006" s="845" t="s">
        <v>2279</v>
      </c>
      <c r="D1006" s="845" t="s">
        <v>2603</v>
      </c>
      <c r="E1006" s="843">
        <v>2018</v>
      </c>
      <c r="F1006" s="844" t="s">
        <v>2637</v>
      </c>
      <c r="G1006" s="842" t="s">
        <v>2638</v>
      </c>
      <c r="H1006" s="843" t="s">
        <v>2639</v>
      </c>
      <c r="I1006" s="842" t="s">
        <v>2638</v>
      </c>
      <c r="J1006" s="840">
        <v>14597971</v>
      </c>
      <c r="K1006" s="840">
        <v>20866538</v>
      </c>
      <c r="L1006" s="841">
        <v>524453311</v>
      </c>
      <c r="M1006" s="840">
        <v>381395877</v>
      </c>
      <c r="N1006" s="839">
        <f>Indicadores[[#This Row],[Ventas]]/Indicadores[[#This Row],[Activos totales]]</f>
        <v>0.72722560617030785</v>
      </c>
      <c r="O1006" s="837">
        <f>IF(Indicadores[[#This Row],[Ventas]]=0,0,Indicadores[[#This Row],[EBITDA]]/Indicadores[[#This Row],[Ventas]])</f>
        <v>5.471096899141361E-2</v>
      </c>
      <c r="P1006" s="837">
        <f>IF(Indicadores[[#This Row],[Ventas]]=0,0,Indicadores[[#This Row],[UAI]]/Indicadores[[#This Row],[Ventas]])</f>
        <v>3.827511486182112E-2</v>
      </c>
      <c r="Q1006" s="837">
        <f>IFERROR(Indicadores[[#This Row],[Ventas]]/Indicadores[[#This Row],[Activos totales]],0)</f>
        <v>0.72722560617030785</v>
      </c>
    </row>
    <row r="1007" spans="1:17" x14ac:dyDescent="0.3">
      <c r="A1007" s="13" t="str">
        <f>MID(Indicadores[[#This Row],[CIIU]],2,4)</f>
        <v>2910</v>
      </c>
      <c r="B1007" s="13" t="str">
        <f>Indicadores[[#This Row],[CIIU]]&amp;Indicadores[[#This Row],[Año]]</f>
        <v>C29102018</v>
      </c>
      <c r="C1007" s="845" t="s">
        <v>2279</v>
      </c>
      <c r="D1007" s="845" t="s">
        <v>2640</v>
      </c>
      <c r="E1007" s="843">
        <v>2018</v>
      </c>
      <c r="F1007" s="844" t="s">
        <v>2641</v>
      </c>
      <c r="G1007" s="838" t="s">
        <v>2642</v>
      </c>
      <c r="H1007" s="843" t="s">
        <v>2643</v>
      </c>
      <c r="I1007" s="842" t="s">
        <v>2642</v>
      </c>
      <c r="J1007" s="840">
        <v>178294059</v>
      </c>
      <c r="K1007" s="840">
        <v>232771971</v>
      </c>
      <c r="L1007" s="841">
        <v>2262720968</v>
      </c>
      <c r="M1007" s="840">
        <v>5646254280</v>
      </c>
      <c r="N1007" s="839">
        <f>Indicadores[[#This Row],[Ventas]]/Indicadores[[#This Row],[Activos totales]]</f>
        <v>2.4953382939614852</v>
      </c>
      <c r="O1007" s="837">
        <f>IF(Indicadores[[#This Row],[Ventas]]=0,0,Indicadores[[#This Row],[EBITDA]]/Indicadores[[#This Row],[Ventas]])</f>
        <v>4.1225910038185529E-2</v>
      </c>
      <c r="P1007" s="837">
        <f>IF(Indicadores[[#This Row],[Ventas]]=0,0,Indicadores[[#This Row],[UAI]]/Indicadores[[#This Row],[Ventas]])</f>
        <v>3.1577405153633997E-2</v>
      </c>
      <c r="Q1007" s="837">
        <f>IFERROR(Indicadores[[#This Row],[Ventas]]/Indicadores[[#This Row],[Activos totales]],0)</f>
        <v>2.4953382939614852</v>
      </c>
    </row>
    <row r="1008" spans="1:17" x14ac:dyDescent="0.3">
      <c r="A1008" s="13" t="str">
        <f>MID(Indicadores[[#This Row],[CIIU]],2,4)</f>
        <v>2920</v>
      </c>
      <c r="B1008" s="13" t="str">
        <f>Indicadores[[#This Row],[CIIU]]&amp;Indicadores[[#This Row],[Año]]</f>
        <v>C29202018</v>
      </c>
      <c r="C1008" s="845" t="s">
        <v>2279</v>
      </c>
      <c r="D1008" s="845" t="s">
        <v>2640</v>
      </c>
      <c r="E1008" s="843">
        <v>2018</v>
      </c>
      <c r="F1008" s="844" t="s">
        <v>2644</v>
      </c>
      <c r="G1008" s="842" t="s">
        <v>2645</v>
      </c>
      <c r="H1008" s="843" t="s">
        <v>2646</v>
      </c>
      <c r="I1008" s="842" t="s">
        <v>2647</v>
      </c>
      <c r="J1008" s="840">
        <v>50868991</v>
      </c>
      <c r="K1008" s="840">
        <v>57318197</v>
      </c>
      <c r="L1008" s="841">
        <v>705930038</v>
      </c>
      <c r="M1008" s="840">
        <v>558860251</v>
      </c>
      <c r="N1008" s="839">
        <f>Indicadores[[#This Row],[Ventas]]/Indicadores[[#This Row],[Activos totales]]</f>
        <v>0.79166520889708902</v>
      </c>
      <c r="O1008" s="837">
        <f>IF(Indicadores[[#This Row],[Ventas]]=0,0,Indicadores[[#This Row],[EBITDA]]/Indicadores[[#This Row],[Ventas]])</f>
        <v>0.10256266552762938</v>
      </c>
      <c r="P1008" s="837">
        <f>IF(Indicadores[[#This Row],[Ventas]]=0,0,Indicadores[[#This Row],[UAI]]/Indicadores[[#This Row],[Ventas]])</f>
        <v>9.1022739421845189E-2</v>
      </c>
      <c r="Q1008" s="837">
        <f>IFERROR(Indicadores[[#This Row],[Ventas]]/Indicadores[[#This Row],[Activos totales]],0)</f>
        <v>0.79166520889708902</v>
      </c>
    </row>
    <row r="1009" spans="1:17" x14ac:dyDescent="0.3">
      <c r="A1009" s="13" t="str">
        <f>MID(Indicadores[[#This Row],[CIIU]],2,4)</f>
        <v>2930</v>
      </c>
      <c r="B1009" s="13" t="str">
        <f>Indicadores[[#This Row],[CIIU]]&amp;Indicadores[[#This Row],[Año]]</f>
        <v>C29302018</v>
      </c>
      <c r="C1009" s="845" t="s">
        <v>2279</v>
      </c>
      <c r="D1009" s="845" t="s">
        <v>2640</v>
      </c>
      <c r="E1009" s="843">
        <v>2018</v>
      </c>
      <c r="F1009" s="844" t="s">
        <v>2648</v>
      </c>
      <c r="G1009" s="842" t="s">
        <v>2649</v>
      </c>
      <c r="H1009" s="843" t="s">
        <v>2650</v>
      </c>
      <c r="I1009" s="842" t="s">
        <v>2649</v>
      </c>
      <c r="J1009" s="840">
        <v>113168821</v>
      </c>
      <c r="K1009" s="840">
        <v>149120214</v>
      </c>
      <c r="L1009" s="841">
        <v>1710730683</v>
      </c>
      <c r="M1009" s="840">
        <v>1686232081</v>
      </c>
      <c r="N1009" s="839">
        <f>Indicadores[[#This Row],[Ventas]]/Indicadores[[#This Row],[Activos totales]]</f>
        <v>0.98567945133418755</v>
      </c>
      <c r="O1009" s="837">
        <f>IF(Indicadores[[#This Row],[Ventas]]=0,0,Indicadores[[#This Row],[EBITDA]]/Indicadores[[#This Row],[Ventas]])</f>
        <v>8.843397992497333E-2</v>
      </c>
      <c r="P1009" s="837">
        <f>IF(Indicadores[[#This Row],[Ventas]]=0,0,Indicadores[[#This Row],[UAI]]/Indicadores[[#This Row],[Ventas]])</f>
        <v>6.7113431345041524E-2</v>
      </c>
      <c r="Q1009" s="837">
        <f>IFERROR(Indicadores[[#This Row],[Ventas]]/Indicadores[[#This Row],[Activos totales]],0)</f>
        <v>0.98567945133418755</v>
      </c>
    </row>
    <row r="1010" spans="1:17" x14ac:dyDescent="0.3">
      <c r="A1010" s="13" t="str">
        <f>MID(Indicadores[[#This Row],[CIIU]],2,4)</f>
        <v>3011</v>
      </c>
      <c r="B1010" s="13" t="str">
        <f>Indicadores[[#This Row],[CIIU]]&amp;Indicadores[[#This Row],[Año]]</f>
        <v>C30112018</v>
      </c>
      <c r="C1010" s="845" t="s">
        <v>2279</v>
      </c>
      <c r="D1010" s="845" t="s">
        <v>2651</v>
      </c>
      <c r="E1010" s="843">
        <v>2018</v>
      </c>
      <c r="F1010" s="844" t="s">
        <v>2652</v>
      </c>
      <c r="G1010" s="842" t="s">
        <v>2653</v>
      </c>
      <c r="H1010" s="843" t="s">
        <v>2654</v>
      </c>
      <c r="I1010" s="842" t="s">
        <v>2653</v>
      </c>
      <c r="J1010" s="840">
        <v>5430915</v>
      </c>
      <c r="K1010" s="840">
        <v>8479388</v>
      </c>
      <c r="L1010" s="841">
        <v>108755987</v>
      </c>
      <c r="M1010" s="840">
        <v>49538292</v>
      </c>
      <c r="N1010" s="839">
        <f>Indicadores[[#This Row],[Ventas]]/Indicadores[[#This Row],[Activos totales]]</f>
        <v>0.45549944758443506</v>
      </c>
      <c r="O1010" s="837">
        <f>IF(Indicadores[[#This Row],[Ventas]]=0,0,Indicadores[[#This Row],[EBITDA]]/Indicadores[[#This Row],[Ventas]])</f>
        <v>0.17116835598611271</v>
      </c>
      <c r="P1010" s="837">
        <f>IF(Indicadores[[#This Row],[Ventas]]=0,0,Indicadores[[#This Row],[UAI]]/Indicadores[[#This Row],[Ventas]])</f>
        <v>0.10963064693469851</v>
      </c>
      <c r="Q1010" s="837">
        <f>IFERROR(Indicadores[[#This Row],[Ventas]]/Indicadores[[#This Row],[Activos totales]],0)</f>
        <v>0.45549944758443506</v>
      </c>
    </row>
    <row r="1011" spans="1:17" x14ac:dyDescent="0.3">
      <c r="A1011" s="13" t="str">
        <f>MID(Indicadores[[#This Row],[CIIU]],2,4)</f>
        <v>3012</v>
      </c>
      <c r="B1011" s="13" t="str">
        <f>Indicadores[[#This Row],[CIIU]]&amp;Indicadores[[#This Row],[Año]]</f>
        <v>C30122018</v>
      </c>
      <c r="C1011" s="845" t="s">
        <v>2279</v>
      </c>
      <c r="D1011" s="845" t="s">
        <v>2651</v>
      </c>
      <c r="E1011" s="843">
        <v>2018</v>
      </c>
      <c r="F1011" s="844" t="s">
        <v>2655</v>
      </c>
      <c r="G1011" s="842" t="s">
        <v>2656</v>
      </c>
      <c r="H1011" s="843" t="s">
        <v>2657</v>
      </c>
      <c r="I1011" s="842" t="s">
        <v>2656</v>
      </c>
      <c r="J1011" s="840">
        <v>240234</v>
      </c>
      <c r="K1011" s="840">
        <v>360750</v>
      </c>
      <c r="L1011" s="841">
        <v>10782029</v>
      </c>
      <c r="M1011" s="840">
        <v>3922303</v>
      </c>
      <c r="N1011" s="839">
        <f>Indicadores[[#This Row],[Ventas]]/Indicadores[[#This Row],[Activos totales]]</f>
        <v>0.36378152943198355</v>
      </c>
      <c r="O1011" s="837">
        <f>IF(Indicadores[[#This Row],[Ventas]]=0,0,Indicadores[[#This Row],[EBITDA]]/Indicadores[[#This Row],[Ventas]])</f>
        <v>9.1974026483930493E-2</v>
      </c>
      <c r="P1011" s="837">
        <f>IF(Indicadores[[#This Row],[Ventas]]=0,0,Indicadores[[#This Row],[UAI]]/Indicadores[[#This Row],[Ventas]])</f>
        <v>6.1248200355760375E-2</v>
      </c>
      <c r="Q1011" s="837">
        <f>IFERROR(Indicadores[[#This Row],[Ventas]]/Indicadores[[#This Row],[Activos totales]],0)</f>
        <v>0.36378152943198355</v>
      </c>
    </row>
    <row r="1012" spans="1:17" x14ac:dyDescent="0.3">
      <c r="A1012" s="13" t="str">
        <f>MID(Indicadores[[#This Row],[CIIU]],2,4)</f>
        <v>3030</v>
      </c>
      <c r="B1012" s="13" t="str">
        <f>Indicadores[[#This Row],[CIIU]]&amp;Indicadores[[#This Row],[Año]]</f>
        <v>C30302018</v>
      </c>
      <c r="C1012" s="845" t="s">
        <v>2279</v>
      </c>
      <c r="D1012" s="845" t="s">
        <v>2651</v>
      </c>
      <c r="E1012" s="843">
        <v>2018</v>
      </c>
      <c r="F1012" s="844" t="s">
        <v>2658</v>
      </c>
      <c r="G1012" s="842" t="s">
        <v>2659</v>
      </c>
      <c r="H1012" s="843" t="s">
        <v>2660</v>
      </c>
      <c r="I1012" s="842" t="s">
        <v>2659</v>
      </c>
      <c r="J1012" s="840">
        <v>2388533</v>
      </c>
      <c r="K1012" s="840">
        <v>4461622</v>
      </c>
      <c r="L1012" s="841">
        <v>49616261</v>
      </c>
      <c r="M1012" s="840">
        <v>23565227</v>
      </c>
      <c r="N1012" s="839">
        <f>Indicadores[[#This Row],[Ventas]]/Indicadores[[#This Row],[Activos totales]]</f>
        <v>0.47494967426102502</v>
      </c>
      <c r="O1012" s="837">
        <f>IF(Indicadores[[#This Row],[Ventas]]=0,0,Indicadores[[#This Row],[EBITDA]]/Indicadores[[#This Row],[Ventas]])</f>
        <v>0.18933074567879188</v>
      </c>
      <c r="P1012" s="837">
        <f>IF(Indicadores[[#This Row],[Ventas]]=0,0,Indicadores[[#This Row],[UAI]]/Indicadores[[#This Row],[Ventas]])</f>
        <v>0.10135837011033248</v>
      </c>
      <c r="Q1012" s="837">
        <f>IFERROR(Indicadores[[#This Row],[Ventas]]/Indicadores[[#This Row],[Activos totales]],0)</f>
        <v>0.47494967426102502</v>
      </c>
    </row>
    <row r="1013" spans="1:17" x14ac:dyDescent="0.3">
      <c r="A1013" s="13" t="str">
        <f>MID(Indicadores[[#This Row],[CIIU]],2,4)</f>
        <v>3091</v>
      </c>
      <c r="B1013" s="13" t="str">
        <f>Indicadores[[#This Row],[CIIU]]&amp;Indicadores[[#This Row],[Año]]</f>
        <v>C30912018</v>
      </c>
      <c r="C1013" s="845" t="s">
        <v>2279</v>
      </c>
      <c r="D1013" s="845" t="s">
        <v>2651</v>
      </c>
      <c r="E1013" s="843">
        <v>2018</v>
      </c>
      <c r="F1013" s="844" t="s">
        <v>2661</v>
      </c>
      <c r="G1013" s="842" t="s">
        <v>2662</v>
      </c>
      <c r="H1013" s="843" t="s">
        <v>2663</v>
      </c>
      <c r="I1013" s="842" t="s">
        <v>2662</v>
      </c>
      <c r="J1013" s="840">
        <v>145161637</v>
      </c>
      <c r="K1013" s="840">
        <v>181446669</v>
      </c>
      <c r="L1013" s="841">
        <v>2715448410</v>
      </c>
      <c r="M1013" s="840">
        <v>2950706575</v>
      </c>
      <c r="N1013" s="839">
        <f>Indicadores[[#This Row],[Ventas]]/Indicadores[[#This Row],[Activos totales]]</f>
        <v>1.0866369488492695</v>
      </c>
      <c r="O1013" s="837">
        <f>IF(Indicadores[[#This Row],[Ventas]]=0,0,Indicadores[[#This Row],[EBITDA]]/Indicadores[[#This Row],[Ventas]])</f>
        <v>6.1492616899733586E-2</v>
      </c>
      <c r="P1013" s="837">
        <f>IF(Indicadores[[#This Row],[Ventas]]=0,0,Indicadores[[#This Row],[UAI]]/Indicadores[[#This Row],[Ventas]])</f>
        <v>4.919555140788609E-2</v>
      </c>
      <c r="Q1013" s="837">
        <f>IFERROR(Indicadores[[#This Row],[Ventas]]/Indicadores[[#This Row],[Activos totales]],0)</f>
        <v>1.0866369488492695</v>
      </c>
    </row>
    <row r="1014" spans="1:17" x14ac:dyDescent="0.3">
      <c r="A1014" s="13" t="str">
        <f>MID(Indicadores[[#This Row],[CIIU]],2,4)</f>
        <v>3092</v>
      </c>
      <c r="B1014" s="13" t="str">
        <f>Indicadores[[#This Row],[CIIU]]&amp;Indicadores[[#This Row],[Año]]</f>
        <v>C30922018</v>
      </c>
      <c r="C1014" s="845" t="s">
        <v>2279</v>
      </c>
      <c r="D1014" s="845" t="s">
        <v>2651</v>
      </c>
      <c r="E1014" s="843">
        <v>2018</v>
      </c>
      <c r="F1014" s="844" t="s">
        <v>2664</v>
      </c>
      <c r="G1014" s="838" t="s">
        <v>2665</v>
      </c>
      <c r="H1014" s="843" t="s">
        <v>2666</v>
      </c>
      <c r="I1014" s="842" t="s">
        <v>2665</v>
      </c>
      <c r="J1014" s="840">
        <v>3324396</v>
      </c>
      <c r="K1014" s="840">
        <v>3324396</v>
      </c>
      <c r="L1014" s="841">
        <v>47918701</v>
      </c>
      <c r="M1014" s="840">
        <v>62766065</v>
      </c>
      <c r="N1014" s="839">
        <f>Indicadores[[#This Row],[Ventas]]/Indicadores[[#This Row],[Activos totales]]</f>
        <v>1.3098448766380375</v>
      </c>
      <c r="O1014" s="837">
        <f>IF(Indicadores[[#This Row],[Ventas]]=0,0,Indicadores[[#This Row],[EBITDA]]/Indicadores[[#This Row],[Ventas]])</f>
        <v>5.2964862461905168E-2</v>
      </c>
      <c r="P1014" s="837">
        <f>IF(Indicadores[[#This Row],[Ventas]]=0,0,Indicadores[[#This Row],[UAI]]/Indicadores[[#This Row],[Ventas]])</f>
        <v>5.2964862461905168E-2</v>
      </c>
      <c r="Q1014" s="837">
        <f>IFERROR(Indicadores[[#This Row],[Ventas]]/Indicadores[[#This Row],[Activos totales]],0)</f>
        <v>1.3098448766380375</v>
      </c>
    </row>
    <row r="1015" spans="1:17" x14ac:dyDescent="0.3">
      <c r="A1015" s="13" t="str">
        <f>MID(Indicadores[[#This Row],[CIIU]],2,4)</f>
        <v>3099</v>
      </c>
      <c r="B1015" s="13" t="str">
        <f>Indicadores[[#This Row],[CIIU]]&amp;Indicadores[[#This Row],[Año]]</f>
        <v>C30992018</v>
      </c>
      <c r="C1015" s="845" t="s">
        <v>2279</v>
      </c>
      <c r="D1015" s="845" t="s">
        <v>2651</v>
      </c>
      <c r="E1015" s="843">
        <v>2018</v>
      </c>
      <c r="F1015" s="844" t="s">
        <v>2667</v>
      </c>
      <c r="G1015" s="842" t="s">
        <v>2668</v>
      </c>
      <c r="H1015" s="843" t="s">
        <v>2669</v>
      </c>
      <c r="I1015" s="842" t="s">
        <v>2668</v>
      </c>
      <c r="J1015" s="840">
        <v>-3417414</v>
      </c>
      <c r="K1015" s="840">
        <v>-3063807</v>
      </c>
      <c r="L1015" s="841">
        <v>11040946</v>
      </c>
      <c r="M1015" s="840">
        <v>10617483</v>
      </c>
      <c r="N1015" s="839">
        <f>Indicadores[[#This Row],[Ventas]]/Indicadores[[#This Row],[Activos totales]]</f>
        <v>0.9616461306848163</v>
      </c>
      <c r="O1015" s="837">
        <f>IF(Indicadores[[#This Row],[Ventas]]=0,0,Indicadores[[#This Row],[EBITDA]]/Indicadores[[#This Row],[Ventas]])</f>
        <v>-0.28856245872962549</v>
      </c>
      <c r="P1015" s="837">
        <f>IF(Indicadores[[#This Row],[Ventas]]=0,0,Indicadores[[#This Row],[UAI]]/Indicadores[[#This Row],[Ventas]])</f>
        <v>-0.32186667970177113</v>
      </c>
      <c r="Q1015" s="837">
        <f>IFERROR(Indicadores[[#This Row],[Ventas]]/Indicadores[[#This Row],[Activos totales]],0)</f>
        <v>0.9616461306848163</v>
      </c>
    </row>
    <row r="1016" spans="1:17" x14ac:dyDescent="0.3">
      <c r="A1016" s="13" t="str">
        <f>MID(Indicadores[[#This Row],[CIIU]],2,4)</f>
        <v>3110</v>
      </c>
      <c r="B1016" s="13" t="str">
        <f>Indicadores[[#This Row],[CIIU]]&amp;Indicadores[[#This Row],[Año]]</f>
        <v>C31102018</v>
      </c>
      <c r="C1016" s="845" t="s">
        <v>2279</v>
      </c>
      <c r="D1016" s="845" t="s">
        <v>2670</v>
      </c>
      <c r="E1016" s="843">
        <v>2018</v>
      </c>
      <c r="F1016" s="844" t="s">
        <v>2671</v>
      </c>
      <c r="G1016" s="842" t="s">
        <v>2672</v>
      </c>
      <c r="H1016" s="843" t="s">
        <v>2673</v>
      </c>
      <c r="I1016" s="842" t="s">
        <v>2674</v>
      </c>
      <c r="J1016" s="840">
        <v>38875809</v>
      </c>
      <c r="K1016" s="840">
        <v>70118717</v>
      </c>
      <c r="L1016" s="841">
        <v>1440073452</v>
      </c>
      <c r="M1016" s="840">
        <v>1268759390</v>
      </c>
      <c r="N1016" s="839">
        <f>Indicadores[[#This Row],[Ventas]]/Indicadores[[#This Row],[Activos totales]]</f>
        <v>0.88103796944379753</v>
      </c>
      <c r="O1016" s="837">
        <f>IF(Indicadores[[#This Row],[Ventas]]=0,0,Indicadores[[#This Row],[EBITDA]]/Indicadores[[#This Row],[Ventas]])</f>
        <v>5.5265574822661999E-2</v>
      </c>
      <c r="P1016" s="837">
        <f>IF(Indicadores[[#This Row],[Ventas]]=0,0,Indicadores[[#This Row],[UAI]]/Indicadores[[#This Row],[Ventas]])</f>
        <v>3.0640804951993301E-2</v>
      </c>
      <c r="Q1016" s="837">
        <f>IFERROR(Indicadores[[#This Row],[Ventas]]/Indicadores[[#This Row],[Activos totales]],0)</f>
        <v>0.88103796944379753</v>
      </c>
    </row>
    <row r="1017" spans="1:17" x14ac:dyDescent="0.3">
      <c r="A1017" s="13" t="str">
        <f>MID(Indicadores[[#This Row],[CIIU]],2,4)</f>
        <v>3120</v>
      </c>
      <c r="B1017" s="13" t="str">
        <f>Indicadores[[#This Row],[CIIU]]&amp;Indicadores[[#This Row],[Año]]</f>
        <v>C31202018</v>
      </c>
      <c r="C1017" s="845" t="s">
        <v>2279</v>
      </c>
      <c r="D1017" s="845" t="s">
        <v>2670</v>
      </c>
      <c r="E1017" s="843">
        <v>2018</v>
      </c>
      <c r="F1017" s="844" t="s">
        <v>2675</v>
      </c>
      <c r="G1017" s="842" t="s">
        <v>2676</v>
      </c>
      <c r="H1017" s="843" t="s">
        <v>2677</v>
      </c>
      <c r="I1017" s="842" t="s">
        <v>2676</v>
      </c>
      <c r="J1017" s="840">
        <v>29086035</v>
      </c>
      <c r="K1017" s="840">
        <v>37231143</v>
      </c>
      <c r="L1017" s="841">
        <v>617131375</v>
      </c>
      <c r="M1017" s="840">
        <v>640760758</v>
      </c>
      <c r="N1017" s="839">
        <f>Indicadores[[#This Row],[Ventas]]/Indicadores[[#This Row],[Activos totales]]</f>
        <v>1.0382890644637861</v>
      </c>
      <c r="O1017" s="837">
        <f>IF(Indicadores[[#This Row],[Ventas]]=0,0,Indicadores[[#This Row],[EBITDA]]/Indicadores[[#This Row],[Ventas]])</f>
        <v>5.8104592915785271E-2</v>
      </c>
      <c r="P1017" s="837">
        <f>IF(Indicadores[[#This Row],[Ventas]]=0,0,Indicadores[[#This Row],[UAI]]/Indicadores[[#This Row],[Ventas]])</f>
        <v>4.5392971771220737E-2</v>
      </c>
      <c r="Q1017" s="837">
        <f>IFERROR(Indicadores[[#This Row],[Ventas]]/Indicadores[[#This Row],[Activos totales]],0)</f>
        <v>1.0382890644637861</v>
      </c>
    </row>
    <row r="1018" spans="1:17" x14ac:dyDescent="0.3">
      <c r="A1018" s="13" t="str">
        <f>MID(Indicadores[[#This Row],[CIIU]],2,4)</f>
        <v>3210</v>
      </c>
      <c r="B1018" s="13" t="str">
        <f>Indicadores[[#This Row],[CIIU]]&amp;Indicadores[[#This Row],[Año]]</f>
        <v>C32102018</v>
      </c>
      <c r="C1018" s="845" t="s">
        <v>2279</v>
      </c>
      <c r="D1018" s="845" t="s">
        <v>2678</v>
      </c>
      <c r="E1018" s="843">
        <v>2018</v>
      </c>
      <c r="F1018" s="844" t="s">
        <v>2679</v>
      </c>
      <c r="G1018" s="842" t="s">
        <v>2680</v>
      </c>
      <c r="H1018" s="843" t="s">
        <v>2681</v>
      </c>
      <c r="I1018" s="842" t="s">
        <v>2680</v>
      </c>
      <c r="J1018" s="840">
        <v>3716539</v>
      </c>
      <c r="K1018" s="840">
        <v>4668459</v>
      </c>
      <c r="L1018" s="841">
        <v>83323886</v>
      </c>
      <c r="M1018" s="840">
        <v>75448806</v>
      </c>
      <c r="N1018" s="839">
        <f>Indicadores[[#This Row],[Ventas]]/Indicadores[[#This Row],[Activos totales]]</f>
        <v>0.90548832540047397</v>
      </c>
      <c r="O1018" s="837">
        <f>IF(Indicadores[[#This Row],[Ventas]]=0,0,Indicadores[[#This Row],[EBITDA]]/Indicadores[[#This Row],[Ventas]])</f>
        <v>6.1875849963748931E-2</v>
      </c>
      <c r="P1018" s="837">
        <f>IF(Indicadores[[#This Row],[Ventas]]=0,0,Indicadores[[#This Row],[UAI]]/Indicadores[[#This Row],[Ventas]])</f>
        <v>4.9259083039697144E-2</v>
      </c>
      <c r="Q1018" s="837">
        <f>IFERROR(Indicadores[[#This Row],[Ventas]]/Indicadores[[#This Row],[Activos totales]],0)</f>
        <v>0.90548832540047397</v>
      </c>
    </row>
    <row r="1019" spans="1:17" x14ac:dyDescent="0.3">
      <c r="A1019" s="13" t="str">
        <f>MID(Indicadores[[#This Row],[CIIU]],2,4)</f>
        <v>3230</v>
      </c>
      <c r="B1019" s="13" t="str">
        <f>Indicadores[[#This Row],[CIIU]]&amp;Indicadores[[#This Row],[Año]]</f>
        <v>C32302018</v>
      </c>
      <c r="C1019" s="845" t="s">
        <v>2279</v>
      </c>
      <c r="D1019" s="845" t="s">
        <v>2678</v>
      </c>
      <c r="E1019" s="843">
        <v>2018</v>
      </c>
      <c r="F1019" s="844" t="s">
        <v>2682</v>
      </c>
      <c r="G1019" s="842" t="s">
        <v>2683</v>
      </c>
      <c r="H1019" s="843" t="s">
        <v>2684</v>
      </c>
      <c r="I1019" s="842" t="s">
        <v>2683</v>
      </c>
      <c r="J1019" s="840">
        <v>203357</v>
      </c>
      <c r="K1019" s="840">
        <v>441838</v>
      </c>
      <c r="L1019" s="841">
        <v>9450781</v>
      </c>
      <c r="M1019" s="840">
        <v>3212096</v>
      </c>
      <c r="N1019" s="839">
        <f>Indicadores[[#This Row],[Ventas]]/Indicadores[[#This Row],[Activos totales]]</f>
        <v>0.3398762493808713</v>
      </c>
      <c r="O1019" s="837">
        <f>IF(Indicadores[[#This Row],[Ventas]]=0,0,Indicadores[[#This Row],[EBITDA]]/Indicadores[[#This Row],[Ventas]])</f>
        <v>0.13755441929506465</v>
      </c>
      <c r="P1019" s="837">
        <f>IF(Indicadores[[#This Row],[Ventas]]=0,0,Indicadores[[#This Row],[UAI]]/Indicadores[[#This Row],[Ventas]])</f>
        <v>6.3309751638805312E-2</v>
      </c>
      <c r="Q1019" s="837">
        <f>IFERROR(Indicadores[[#This Row],[Ventas]]/Indicadores[[#This Row],[Activos totales]],0)</f>
        <v>0.3398762493808713</v>
      </c>
    </row>
    <row r="1020" spans="1:17" x14ac:dyDescent="0.3">
      <c r="A1020" s="13" t="str">
        <f>MID(Indicadores[[#This Row],[CIIU]],2,4)</f>
        <v>3240</v>
      </c>
      <c r="B1020" s="13" t="str">
        <f>Indicadores[[#This Row],[CIIU]]&amp;Indicadores[[#This Row],[Año]]</f>
        <v>C32402018</v>
      </c>
      <c r="C1020" s="845" t="s">
        <v>2279</v>
      </c>
      <c r="D1020" s="845" t="s">
        <v>2678</v>
      </c>
      <c r="E1020" s="843">
        <v>2018</v>
      </c>
      <c r="F1020" s="844" t="s">
        <v>2685</v>
      </c>
      <c r="G1020" s="842" t="s">
        <v>2686</v>
      </c>
      <c r="H1020" s="843" t="s">
        <v>2687</v>
      </c>
      <c r="I1020" s="842" t="s">
        <v>2686</v>
      </c>
      <c r="J1020" s="840">
        <v>1871325</v>
      </c>
      <c r="K1020" s="840">
        <v>2925743</v>
      </c>
      <c r="L1020" s="841">
        <v>48071794</v>
      </c>
      <c r="M1020" s="840">
        <v>25591730</v>
      </c>
      <c r="N1020" s="839">
        <f>Indicadores[[#This Row],[Ventas]]/Indicadores[[#This Row],[Activos totales]]</f>
        <v>0.53236477922999925</v>
      </c>
      <c r="O1020" s="837">
        <f>IF(Indicadores[[#This Row],[Ventas]]=0,0,Indicadores[[#This Row],[EBITDA]]/Indicadores[[#This Row],[Ventas]])</f>
        <v>0.11432376787344975</v>
      </c>
      <c r="P1020" s="837">
        <f>IF(Indicadores[[#This Row],[Ventas]]=0,0,Indicadores[[#This Row],[UAI]]/Indicadores[[#This Row],[Ventas]])</f>
        <v>7.3122254728382963E-2</v>
      </c>
      <c r="Q1020" s="837">
        <f>IFERROR(Indicadores[[#This Row],[Ventas]]/Indicadores[[#This Row],[Activos totales]],0)</f>
        <v>0.53236477922999925</v>
      </c>
    </row>
    <row r="1021" spans="1:17" x14ac:dyDescent="0.3">
      <c r="A1021" s="13" t="str">
        <f>MID(Indicadores[[#This Row],[CIIU]],2,4)</f>
        <v>3250</v>
      </c>
      <c r="B1021" s="13" t="str">
        <f>Indicadores[[#This Row],[CIIU]]&amp;Indicadores[[#This Row],[Año]]</f>
        <v>C32502018</v>
      </c>
      <c r="C1021" s="845" t="s">
        <v>2279</v>
      </c>
      <c r="D1021" s="845" t="s">
        <v>2678</v>
      </c>
      <c r="E1021" s="843">
        <v>2018</v>
      </c>
      <c r="F1021" s="844" t="s">
        <v>2688</v>
      </c>
      <c r="G1021" s="842" t="s">
        <v>2689</v>
      </c>
      <c r="H1021" s="843" t="s">
        <v>2690</v>
      </c>
      <c r="I1021" s="842" t="s">
        <v>2689</v>
      </c>
      <c r="J1021" s="840">
        <v>10016978</v>
      </c>
      <c r="K1021" s="840">
        <v>26023620</v>
      </c>
      <c r="L1021" s="841">
        <v>472692994</v>
      </c>
      <c r="M1021" s="840">
        <v>342962719</v>
      </c>
      <c r="N1021" s="839">
        <f>Indicadores[[#This Row],[Ventas]]/Indicadores[[#This Row],[Activos totales]]</f>
        <v>0.72555067105564086</v>
      </c>
      <c r="O1021" s="837">
        <f>IF(Indicadores[[#This Row],[Ventas]]=0,0,Indicadores[[#This Row],[EBITDA]]/Indicadores[[#This Row],[Ventas]])</f>
        <v>7.58788595911499E-2</v>
      </c>
      <c r="P1021" s="837">
        <f>IF(Indicadores[[#This Row],[Ventas]]=0,0,Indicadores[[#This Row],[UAI]]/Indicadores[[#This Row],[Ventas]])</f>
        <v>2.9207192050515553E-2</v>
      </c>
      <c r="Q1021" s="837">
        <f>IFERROR(Indicadores[[#This Row],[Ventas]]/Indicadores[[#This Row],[Activos totales]],0)</f>
        <v>0.72555067105564086</v>
      </c>
    </row>
    <row r="1022" spans="1:17" x14ac:dyDescent="0.3">
      <c r="A1022" s="13" t="str">
        <f>MID(Indicadores[[#This Row],[CIIU]],2,4)</f>
        <v>3290</v>
      </c>
      <c r="B1022" s="13" t="str">
        <f>Indicadores[[#This Row],[CIIU]]&amp;Indicadores[[#This Row],[Año]]</f>
        <v>C32902018</v>
      </c>
      <c r="C1022" s="845" t="s">
        <v>2279</v>
      </c>
      <c r="D1022" s="845" t="s">
        <v>2678</v>
      </c>
      <c r="E1022" s="843">
        <v>2018</v>
      </c>
      <c r="F1022" s="844" t="s">
        <v>2691</v>
      </c>
      <c r="G1022" s="842" t="s">
        <v>2692</v>
      </c>
      <c r="H1022" s="843" t="s">
        <v>2693</v>
      </c>
      <c r="I1022" s="842" t="s">
        <v>2692</v>
      </c>
      <c r="J1022" s="840">
        <v>136713345</v>
      </c>
      <c r="K1022" s="840">
        <v>181254518</v>
      </c>
      <c r="L1022" s="841">
        <v>2545940810</v>
      </c>
      <c r="M1022" s="840">
        <v>2004247524</v>
      </c>
      <c r="N1022" s="839">
        <f>Indicadores[[#This Row],[Ventas]]/Indicadores[[#This Row],[Activos totales]]</f>
        <v>0.78723256885143378</v>
      </c>
      <c r="O1022" s="837">
        <f>IF(Indicadores[[#This Row],[Ventas]]=0,0,Indicadores[[#This Row],[EBITDA]]/Indicadores[[#This Row],[Ventas]])</f>
        <v>9.0435196166918155E-2</v>
      </c>
      <c r="P1022" s="837">
        <f>IF(Indicadores[[#This Row],[Ventas]]=0,0,Indicadores[[#This Row],[UAI]]/Indicadores[[#This Row],[Ventas]])</f>
        <v>6.8211806856646517E-2</v>
      </c>
      <c r="Q1022" s="837">
        <f>IFERROR(Indicadores[[#This Row],[Ventas]]/Indicadores[[#This Row],[Activos totales]],0)</f>
        <v>0.78723256885143378</v>
      </c>
    </row>
    <row r="1023" spans="1:17" x14ac:dyDescent="0.3">
      <c r="A1023" s="13" t="str">
        <f>MID(Indicadores[[#This Row],[CIIU]],2,4)</f>
        <v>3311</v>
      </c>
      <c r="B1023" s="13" t="str">
        <f>Indicadores[[#This Row],[CIIU]]&amp;Indicadores[[#This Row],[Año]]</f>
        <v>C33112018</v>
      </c>
      <c r="C1023" s="845" t="s">
        <v>2279</v>
      </c>
      <c r="D1023" s="845" t="s">
        <v>2694</v>
      </c>
      <c r="E1023" s="843">
        <v>2018</v>
      </c>
      <c r="F1023" s="844" t="s">
        <v>2695</v>
      </c>
      <c r="G1023" s="842" t="s">
        <v>2696</v>
      </c>
      <c r="H1023" s="843" t="s">
        <v>2697</v>
      </c>
      <c r="I1023" s="842" t="s">
        <v>2696</v>
      </c>
      <c r="J1023" s="840">
        <v>836424</v>
      </c>
      <c r="K1023" s="840">
        <v>1111513</v>
      </c>
      <c r="L1023" s="841">
        <v>23741811</v>
      </c>
      <c r="M1023" s="840">
        <v>24114508</v>
      </c>
      <c r="N1023" s="839">
        <f>Indicadores[[#This Row],[Ventas]]/Indicadores[[#This Row],[Activos totales]]</f>
        <v>1.0156979179052517</v>
      </c>
      <c r="O1023" s="837">
        <f>IF(Indicadores[[#This Row],[Ventas]]=0,0,Indicadores[[#This Row],[EBITDA]]/Indicadores[[#This Row],[Ventas]])</f>
        <v>4.6093123691347965E-2</v>
      </c>
      <c r="P1023" s="837">
        <f>IF(Indicadores[[#This Row],[Ventas]]=0,0,Indicadores[[#This Row],[UAI]]/Indicadores[[#This Row],[Ventas]])</f>
        <v>3.4685509652529506E-2</v>
      </c>
      <c r="Q1023" s="837">
        <f>IFERROR(Indicadores[[#This Row],[Ventas]]/Indicadores[[#This Row],[Activos totales]],0)</f>
        <v>1.0156979179052517</v>
      </c>
    </row>
    <row r="1024" spans="1:17" x14ac:dyDescent="0.3">
      <c r="A1024" s="13" t="str">
        <f>MID(Indicadores[[#This Row],[CIIU]],2,4)</f>
        <v>3312</v>
      </c>
      <c r="B1024" s="13" t="str">
        <f>Indicadores[[#This Row],[CIIU]]&amp;Indicadores[[#This Row],[Año]]</f>
        <v>C33122018</v>
      </c>
      <c r="C1024" s="845" t="s">
        <v>2279</v>
      </c>
      <c r="D1024" s="845" t="s">
        <v>2694</v>
      </c>
      <c r="E1024" s="843">
        <v>2018</v>
      </c>
      <c r="F1024" s="844" t="s">
        <v>2698</v>
      </c>
      <c r="G1024" s="842" t="s">
        <v>2699</v>
      </c>
      <c r="H1024" s="843" t="s">
        <v>2700</v>
      </c>
      <c r="I1024" s="842" t="s">
        <v>2699</v>
      </c>
      <c r="J1024" s="840">
        <v>51010243</v>
      </c>
      <c r="K1024" s="840">
        <v>77449576</v>
      </c>
      <c r="L1024" s="841">
        <v>960821177</v>
      </c>
      <c r="M1024" s="840">
        <v>1135057291</v>
      </c>
      <c r="N1024" s="839">
        <f>Indicadores[[#This Row],[Ventas]]/Indicadores[[#This Row],[Activos totales]]</f>
        <v>1.1813408344558167</v>
      </c>
      <c r="O1024" s="837">
        <f>IF(Indicadores[[#This Row],[Ventas]]=0,0,Indicadores[[#This Row],[EBITDA]]/Indicadores[[#This Row],[Ventas]])</f>
        <v>6.8234067666986156E-2</v>
      </c>
      <c r="P1024" s="837">
        <f>IF(Indicadores[[#This Row],[Ventas]]=0,0,Indicadores[[#This Row],[UAI]]/Indicadores[[#This Row],[Ventas]])</f>
        <v>4.4940676919540616E-2</v>
      </c>
      <c r="Q1024" s="837">
        <f>IFERROR(Indicadores[[#This Row],[Ventas]]/Indicadores[[#This Row],[Activos totales]],0)</f>
        <v>1.1813408344558167</v>
      </c>
    </row>
    <row r="1025" spans="1:17" x14ac:dyDescent="0.3">
      <c r="A1025" s="13" t="str">
        <f>MID(Indicadores[[#This Row],[CIIU]],2,4)</f>
        <v>3313</v>
      </c>
      <c r="B1025" s="13" t="str">
        <f>Indicadores[[#This Row],[CIIU]]&amp;Indicadores[[#This Row],[Año]]</f>
        <v>C33132018</v>
      </c>
      <c r="C1025" s="845" t="s">
        <v>2279</v>
      </c>
      <c r="D1025" s="845" t="s">
        <v>2694</v>
      </c>
      <c r="E1025" s="843">
        <v>2018</v>
      </c>
      <c r="F1025" s="844" t="s">
        <v>2701</v>
      </c>
      <c r="G1025" s="842" t="s">
        <v>2702</v>
      </c>
      <c r="H1025" s="843" t="s">
        <v>2703</v>
      </c>
      <c r="I1025" s="842" t="s">
        <v>2702</v>
      </c>
      <c r="J1025" s="840">
        <v>1871022</v>
      </c>
      <c r="K1025" s="840">
        <v>3984267</v>
      </c>
      <c r="L1025" s="841">
        <v>59822456</v>
      </c>
      <c r="M1025" s="840">
        <v>59423301</v>
      </c>
      <c r="N1025" s="839">
        <f>Indicadores[[#This Row],[Ventas]]/Indicadores[[#This Row],[Activos totales]]</f>
        <v>0.9933276728056768</v>
      </c>
      <c r="O1025" s="837">
        <f>IF(Indicadores[[#This Row],[Ventas]]=0,0,Indicadores[[#This Row],[EBITDA]]/Indicadores[[#This Row],[Ventas]])</f>
        <v>6.7048900565116698E-2</v>
      </c>
      <c r="P1025" s="837">
        <f>IF(Indicadores[[#This Row],[Ventas]]=0,0,Indicadores[[#This Row],[UAI]]/Indicadores[[#This Row],[Ventas]])</f>
        <v>3.1486335637934348E-2</v>
      </c>
      <c r="Q1025" s="837">
        <f>IFERROR(Indicadores[[#This Row],[Ventas]]/Indicadores[[#This Row],[Activos totales]],0)</f>
        <v>0.9933276728056768</v>
      </c>
    </row>
    <row r="1026" spans="1:17" x14ac:dyDescent="0.3">
      <c r="A1026" s="13" t="str">
        <f>MID(Indicadores[[#This Row],[CIIU]],2,4)</f>
        <v>3314</v>
      </c>
      <c r="B1026" s="13" t="str">
        <f>Indicadores[[#This Row],[CIIU]]&amp;Indicadores[[#This Row],[Año]]</f>
        <v>C33142018</v>
      </c>
      <c r="C1026" s="845" t="s">
        <v>2279</v>
      </c>
      <c r="D1026" s="845" t="s">
        <v>2694</v>
      </c>
      <c r="E1026" s="843">
        <v>2018</v>
      </c>
      <c r="F1026" s="844" t="s">
        <v>2704</v>
      </c>
      <c r="G1026" s="842" t="s">
        <v>2705</v>
      </c>
      <c r="H1026" s="843" t="s">
        <v>2706</v>
      </c>
      <c r="I1026" s="842" t="s">
        <v>2705</v>
      </c>
      <c r="J1026" s="840">
        <v>53570088</v>
      </c>
      <c r="K1026" s="840">
        <v>77114245</v>
      </c>
      <c r="L1026" s="841">
        <v>887936566</v>
      </c>
      <c r="M1026" s="840">
        <v>1024559707</v>
      </c>
      <c r="N1026" s="839">
        <f>Indicadores[[#This Row],[Ventas]]/Indicadores[[#This Row],[Activos totales]]</f>
        <v>1.1538658798741261</v>
      </c>
      <c r="O1026" s="837">
        <f>IF(Indicadores[[#This Row],[Ventas]]=0,0,Indicadores[[#This Row],[EBITDA]]/Indicadores[[#This Row],[Ventas]])</f>
        <v>7.5265740466992623E-2</v>
      </c>
      <c r="P1026" s="837">
        <f>IF(Indicadores[[#This Row],[Ventas]]=0,0,Indicadores[[#This Row],[UAI]]/Indicadores[[#This Row],[Ventas]])</f>
        <v>5.2285960138777933E-2</v>
      </c>
      <c r="Q1026" s="837">
        <f>IFERROR(Indicadores[[#This Row],[Ventas]]/Indicadores[[#This Row],[Activos totales]],0)</f>
        <v>1.1538658798741261</v>
      </c>
    </row>
    <row r="1027" spans="1:17" x14ac:dyDescent="0.3">
      <c r="A1027" s="13" t="str">
        <f>MID(Indicadores[[#This Row],[CIIU]],2,4)</f>
        <v>3315</v>
      </c>
      <c r="B1027" s="13" t="str">
        <f>Indicadores[[#This Row],[CIIU]]&amp;Indicadores[[#This Row],[Año]]</f>
        <v>C33152018</v>
      </c>
      <c r="C1027" s="845" t="s">
        <v>2279</v>
      </c>
      <c r="D1027" s="845" t="s">
        <v>2694</v>
      </c>
      <c r="E1027" s="843">
        <v>2018</v>
      </c>
      <c r="F1027" s="844" t="s">
        <v>2707</v>
      </c>
      <c r="G1027" s="842" t="s">
        <v>2708</v>
      </c>
      <c r="H1027" s="843" t="s">
        <v>2709</v>
      </c>
      <c r="I1027" s="842" t="s">
        <v>2708</v>
      </c>
      <c r="J1027" s="840">
        <v>3840185</v>
      </c>
      <c r="K1027" s="840">
        <v>5554829</v>
      </c>
      <c r="L1027" s="841">
        <v>170827610</v>
      </c>
      <c r="M1027" s="846">
        <v>91259616</v>
      </c>
      <c r="N1027" s="839">
        <f>Indicadores[[#This Row],[Ventas]]/Indicadores[[#This Row],[Activos totales]]</f>
        <v>0.53422052793456509</v>
      </c>
      <c r="O1027" s="837">
        <f>IF(Indicadores[[#This Row],[Ventas]]=0,0,Indicadores[[#This Row],[EBITDA]]/Indicadores[[#This Row],[Ventas]])</f>
        <v>6.0868423991615309E-2</v>
      </c>
      <c r="P1027" s="837">
        <f>IF(Indicadores[[#This Row],[Ventas]]=0,0,Indicadores[[#This Row],[UAI]]/Indicadores[[#This Row],[Ventas]])</f>
        <v>4.2079784775776397E-2</v>
      </c>
      <c r="Q1027" s="837">
        <f>IFERROR(Indicadores[[#This Row],[Ventas]]/Indicadores[[#This Row],[Activos totales]],0)</f>
        <v>0.53422052793456509</v>
      </c>
    </row>
    <row r="1028" spans="1:17" x14ac:dyDescent="0.3">
      <c r="A1028" s="13" t="str">
        <f>MID(Indicadores[[#This Row],[CIIU]],2,4)</f>
        <v>3319</v>
      </c>
      <c r="B1028" s="13" t="str">
        <f>Indicadores[[#This Row],[CIIU]]&amp;Indicadores[[#This Row],[Año]]</f>
        <v>C33192018</v>
      </c>
      <c r="C1028" s="845" t="s">
        <v>2279</v>
      </c>
      <c r="D1028" s="845" t="s">
        <v>2694</v>
      </c>
      <c r="E1028" s="843">
        <v>2018</v>
      </c>
      <c r="F1028" s="844" t="s">
        <v>2710</v>
      </c>
      <c r="G1028" s="842" t="s">
        <v>2711</v>
      </c>
      <c r="H1028" s="843" t="s">
        <v>2712</v>
      </c>
      <c r="I1028" s="842" t="s">
        <v>2711</v>
      </c>
      <c r="J1028" s="840">
        <v>4703575</v>
      </c>
      <c r="K1028" s="840">
        <v>6554320</v>
      </c>
      <c r="L1028" s="841">
        <v>38955462</v>
      </c>
      <c r="M1028" s="840">
        <v>67872685</v>
      </c>
      <c r="N1028" s="839">
        <f>Indicadores[[#This Row],[Ventas]]/Indicadores[[#This Row],[Activos totales]]</f>
        <v>1.7423149801175506</v>
      </c>
      <c r="O1028" s="837">
        <f>IF(Indicadores[[#This Row],[Ventas]]=0,0,Indicadores[[#This Row],[EBITDA]]/Indicadores[[#This Row],[Ventas]])</f>
        <v>9.6567860841220585E-2</v>
      </c>
      <c r="P1028" s="837">
        <f>IF(Indicadores[[#This Row],[Ventas]]=0,0,Indicadores[[#This Row],[UAI]]/Indicadores[[#This Row],[Ventas]])</f>
        <v>6.9299969494355504E-2</v>
      </c>
      <c r="Q1028" s="837">
        <f>IFERROR(Indicadores[[#This Row],[Ventas]]/Indicadores[[#This Row],[Activos totales]],0)</f>
        <v>1.7423149801175506</v>
      </c>
    </row>
    <row r="1029" spans="1:17" x14ac:dyDescent="0.3">
      <c r="A1029" s="13" t="str">
        <f>MID(Indicadores[[#This Row],[CIIU]],2,4)</f>
        <v>3320</v>
      </c>
      <c r="B1029" s="13" t="str">
        <f>Indicadores[[#This Row],[CIIU]]&amp;Indicadores[[#This Row],[Año]]</f>
        <v>C33202018</v>
      </c>
      <c r="C1029" s="845" t="s">
        <v>2279</v>
      </c>
      <c r="D1029" s="845" t="s">
        <v>2694</v>
      </c>
      <c r="E1029" s="843">
        <v>2018</v>
      </c>
      <c r="F1029" s="844" t="s">
        <v>2713</v>
      </c>
      <c r="G1029" s="842" t="s">
        <v>2714</v>
      </c>
      <c r="H1029" s="843" t="s">
        <v>2715</v>
      </c>
      <c r="I1029" s="842" t="s">
        <v>2716</v>
      </c>
      <c r="J1029" s="840">
        <v>-92260915</v>
      </c>
      <c r="K1029" s="840">
        <v>-86995948</v>
      </c>
      <c r="L1029" s="841">
        <v>220854200</v>
      </c>
      <c r="M1029" s="840">
        <v>120435499</v>
      </c>
      <c r="N1029" s="839">
        <f>Indicadores[[#This Row],[Ventas]]/Indicadores[[#This Row],[Activos totales]]</f>
        <v>0.54531677006821699</v>
      </c>
      <c r="O1029" s="837">
        <f>IF(Indicadores[[#This Row],[Ventas]]=0,0,Indicadores[[#This Row],[EBITDA]]/Indicadores[[#This Row],[Ventas]])</f>
        <v>-0.72234472993714249</v>
      </c>
      <c r="P1029" s="837">
        <f>IF(Indicadores[[#This Row],[Ventas]]=0,0,Indicadores[[#This Row],[UAI]]/Indicadores[[#This Row],[Ventas]])</f>
        <v>-0.76606080238850505</v>
      </c>
      <c r="Q1029" s="837">
        <f>IFERROR(Indicadores[[#This Row],[Ventas]]/Indicadores[[#This Row],[Activos totales]],0)</f>
        <v>0.54531677006821699</v>
      </c>
    </row>
    <row r="1030" spans="1:17" hidden="1" x14ac:dyDescent="0.3">
      <c r="A1030" s="13" t="str">
        <f>MID(Indicadores[[#This Row],[CIIU]],2,4)</f>
        <v>3511</v>
      </c>
      <c r="B1030" s="13" t="str">
        <f>Indicadores[[#This Row],[CIIU]]&amp;Indicadores[[#This Row],[Año]]</f>
        <v>D35112018</v>
      </c>
      <c r="C1030" s="845" t="s">
        <v>2717</v>
      </c>
      <c r="D1030" s="845" t="s">
        <v>2718</v>
      </c>
      <c r="E1030" s="843">
        <v>2018</v>
      </c>
      <c r="F1030" s="844" t="s">
        <v>2719</v>
      </c>
      <c r="G1030" s="842" t="s">
        <v>2720</v>
      </c>
      <c r="H1030" s="843" t="s">
        <v>2721</v>
      </c>
      <c r="I1030" s="842" t="s">
        <v>2720</v>
      </c>
      <c r="J1030" s="840">
        <v>68569327</v>
      </c>
      <c r="K1030" s="840">
        <v>91980247</v>
      </c>
      <c r="L1030" s="841">
        <v>572568309</v>
      </c>
      <c r="M1030" s="840">
        <v>355801654</v>
      </c>
      <c r="N1030" s="839">
        <f>Indicadores[[#This Row],[Ventas]]/Indicadores[[#This Row],[Activos totales]]</f>
        <v>0.62141346003136899</v>
      </c>
      <c r="O1030" s="837">
        <f>IF(Indicadores[[#This Row],[Ventas]]=0,0,Indicadores[[#This Row],[EBITDA]]/Indicadores[[#This Row],[Ventas]])</f>
        <v>0.25851551269067458</v>
      </c>
      <c r="P1030" s="837">
        <f>IF(Indicadores[[#This Row],[Ventas]]=0,0,Indicadores[[#This Row],[UAI]]/Indicadores[[#This Row],[Ventas]])</f>
        <v>0.19271784217169491</v>
      </c>
      <c r="Q1030" s="837">
        <f>IFERROR(Indicadores[[#This Row],[Ventas]]/Indicadores[[#This Row],[Activos totales]],0)</f>
        <v>0.62141346003136899</v>
      </c>
    </row>
    <row r="1031" spans="1:17" hidden="1" x14ac:dyDescent="0.3">
      <c r="A1031" s="13" t="str">
        <f>MID(Indicadores[[#This Row],[CIIU]],2,4)</f>
        <v>3512</v>
      </c>
      <c r="B1031" s="13" t="str">
        <f>Indicadores[[#This Row],[CIIU]]&amp;Indicadores[[#This Row],[Año]]</f>
        <v>D35122018</v>
      </c>
      <c r="C1031" s="845" t="s">
        <v>2717</v>
      </c>
      <c r="D1031" s="845" t="s">
        <v>2718</v>
      </c>
      <c r="E1031" s="843">
        <v>2018</v>
      </c>
      <c r="F1031" s="844" t="s">
        <v>2722</v>
      </c>
      <c r="G1031" s="838" t="s">
        <v>2723</v>
      </c>
      <c r="H1031" s="843" t="s">
        <v>2724</v>
      </c>
      <c r="I1031" s="842" t="s">
        <v>2723</v>
      </c>
      <c r="J1031" s="840">
        <v>-32368195</v>
      </c>
      <c r="K1031" s="840">
        <v>-2956636</v>
      </c>
      <c r="L1031" s="841">
        <v>555811837</v>
      </c>
      <c r="M1031" s="840">
        <v>91851696</v>
      </c>
      <c r="N1031" s="839">
        <f>Indicadores[[#This Row],[Ventas]]/Indicadores[[#This Row],[Activos totales]]</f>
        <v>0.16525681873882078</v>
      </c>
      <c r="O1031" s="837">
        <f>IF(Indicadores[[#This Row],[Ventas]]=0,0,Indicadores[[#This Row],[EBITDA]]/Indicadores[[#This Row],[Ventas]])</f>
        <v>-3.2189236875930956E-2</v>
      </c>
      <c r="P1031" s="837">
        <f>IF(Indicadores[[#This Row],[Ventas]]=0,0,Indicadores[[#This Row],[UAI]]/Indicadores[[#This Row],[Ventas]])</f>
        <v>-0.35239626930786339</v>
      </c>
      <c r="Q1031" s="837">
        <f>IFERROR(Indicadores[[#This Row],[Ventas]]/Indicadores[[#This Row],[Activos totales]],0)</f>
        <v>0.16525681873882078</v>
      </c>
    </row>
    <row r="1032" spans="1:17" hidden="1" x14ac:dyDescent="0.3">
      <c r="A1032" s="13" t="str">
        <f>MID(Indicadores[[#This Row],[CIIU]],2,4)</f>
        <v>3514</v>
      </c>
      <c r="B1032" s="13" t="str">
        <f>Indicadores[[#This Row],[CIIU]]&amp;Indicadores[[#This Row],[Año]]</f>
        <v>D35142018</v>
      </c>
      <c r="C1032" s="845" t="s">
        <v>2717</v>
      </c>
      <c r="D1032" s="845" t="s">
        <v>2718</v>
      </c>
      <c r="E1032" s="843">
        <v>2018</v>
      </c>
      <c r="F1032" s="844" t="s">
        <v>2728</v>
      </c>
      <c r="G1032" s="842" t="s">
        <v>2729</v>
      </c>
      <c r="H1032" s="843" t="s">
        <v>2730</v>
      </c>
      <c r="I1032" s="842" t="s">
        <v>2729</v>
      </c>
      <c r="J1032" s="840">
        <v>8966021</v>
      </c>
      <c r="K1032" s="840">
        <v>9103408</v>
      </c>
      <c r="L1032" s="841">
        <v>192833423</v>
      </c>
      <c r="M1032" s="840">
        <v>17288107</v>
      </c>
      <c r="N1032" s="839">
        <f>Indicadores[[#This Row],[Ventas]]/Indicadores[[#This Row],[Activos totales]]</f>
        <v>8.9653062892525642E-2</v>
      </c>
      <c r="O1032" s="837">
        <f>IF(Indicadores[[#This Row],[Ventas]]=0,0,Indicadores[[#This Row],[EBITDA]]/Indicadores[[#This Row],[Ventas]])</f>
        <v>0.52657054933776148</v>
      </c>
      <c r="P1032" s="837">
        <f>IF(Indicadores[[#This Row],[Ventas]]=0,0,Indicadores[[#This Row],[UAI]]/Indicadores[[#This Row],[Ventas]])</f>
        <v>0.51862364109615933</v>
      </c>
      <c r="Q1032" s="837">
        <f>IFERROR(Indicadores[[#This Row],[Ventas]]/Indicadores[[#This Row],[Activos totales]],0)</f>
        <v>8.9653062892525642E-2</v>
      </c>
    </row>
    <row r="1033" spans="1:17" hidden="1" x14ac:dyDescent="0.3">
      <c r="A1033" s="13" t="str">
        <f>MID(Indicadores[[#This Row],[CIIU]],2,4)</f>
        <v>3520</v>
      </c>
      <c r="B1033" s="13" t="str">
        <f>Indicadores[[#This Row],[CIIU]]&amp;Indicadores[[#This Row],[Año]]</f>
        <v>D35202018</v>
      </c>
      <c r="C1033" s="845" t="s">
        <v>2717</v>
      </c>
      <c r="D1033" s="845" t="s">
        <v>2718</v>
      </c>
      <c r="E1033" s="843">
        <v>2018</v>
      </c>
      <c r="F1033" s="844" t="s">
        <v>2731</v>
      </c>
      <c r="G1033" s="842" t="s">
        <v>2732</v>
      </c>
      <c r="H1033" s="843" t="s">
        <v>2733</v>
      </c>
      <c r="I1033" s="842" t="s">
        <v>2732</v>
      </c>
      <c r="J1033" s="840">
        <v>-3560516</v>
      </c>
      <c r="K1033" s="840">
        <v>-2742388</v>
      </c>
      <c r="L1033" s="841">
        <v>80773717</v>
      </c>
      <c r="M1033" s="840">
        <v>118316263</v>
      </c>
      <c r="N1033" s="839">
        <f>Indicadores[[#This Row],[Ventas]]/Indicadores[[#This Row],[Activos totales]]</f>
        <v>1.4647866582640985</v>
      </c>
      <c r="O1033" s="837">
        <f>IF(Indicadores[[#This Row],[Ventas]]=0,0,Indicadores[[#This Row],[EBITDA]]/Indicadores[[#This Row],[Ventas]])</f>
        <v>-2.3178453497977702E-2</v>
      </c>
      <c r="P1033" s="837">
        <f>IF(Indicadores[[#This Row],[Ventas]]=0,0,Indicadores[[#This Row],[UAI]]/Indicadores[[#This Row],[Ventas]])</f>
        <v>-3.0093208741726402E-2</v>
      </c>
      <c r="Q1033" s="837">
        <f>IFERROR(Indicadores[[#This Row],[Ventas]]/Indicadores[[#This Row],[Activos totales]],0)</f>
        <v>1.4647866582640985</v>
      </c>
    </row>
    <row r="1034" spans="1:17" hidden="1" x14ac:dyDescent="0.3">
      <c r="A1034" s="13" t="str">
        <f>MID(Indicadores[[#This Row],[CIIU]],2,4)</f>
        <v>3530</v>
      </c>
      <c r="B1034" s="13" t="str">
        <f>Indicadores[[#This Row],[CIIU]]&amp;Indicadores[[#This Row],[Año]]</f>
        <v>D35302018</v>
      </c>
      <c r="C1034" s="845" t="s">
        <v>2717</v>
      </c>
      <c r="D1034" s="845" t="s">
        <v>2718</v>
      </c>
      <c r="E1034" s="843">
        <v>2018</v>
      </c>
      <c r="F1034" s="844" t="s">
        <v>2734</v>
      </c>
      <c r="G1034" s="842" t="s">
        <v>2735</v>
      </c>
      <c r="H1034" s="843" t="s">
        <v>2736</v>
      </c>
      <c r="I1034" s="842" t="s">
        <v>2735</v>
      </c>
      <c r="J1034" s="840">
        <v>1244952</v>
      </c>
      <c r="K1034" s="840">
        <v>1563893</v>
      </c>
      <c r="L1034" s="841">
        <v>27967269</v>
      </c>
      <c r="M1034" s="840">
        <v>7833300</v>
      </c>
      <c r="N1034" s="839">
        <f>Indicadores[[#This Row],[Ventas]]/Indicadores[[#This Row],[Activos totales]]</f>
        <v>0.28008812730338456</v>
      </c>
      <c r="O1034" s="837">
        <f>IF(Indicadores[[#This Row],[Ventas]]=0,0,Indicadores[[#This Row],[EBITDA]]/Indicadores[[#This Row],[Ventas]])</f>
        <v>0.19964676445431684</v>
      </c>
      <c r="P1034" s="837">
        <f>IF(Indicadores[[#This Row],[Ventas]]=0,0,Indicadores[[#This Row],[UAI]]/Indicadores[[#This Row],[Ventas]])</f>
        <v>0.15893071885412277</v>
      </c>
      <c r="Q1034" s="837">
        <f>IFERROR(Indicadores[[#This Row],[Ventas]]/Indicadores[[#This Row],[Activos totales]],0)</f>
        <v>0.28008812730338456</v>
      </c>
    </row>
    <row r="1035" spans="1:17" hidden="1" x14ac:dyDescent="0.3">
      <c r="A1035" s="13" t="str">
        <f>MID(Indicadores[[#This Row],[CIIU]],2,4)</f>
        <v>3600</v>
      </c>
      <c r="B1035" s="13" t="str">
        <f>Indicadores[[#This Row],[CIIU]]&amp;Indicadores[[#This Row],[Año]]</f>
        <v>E36002018</v>
      </c>
      <c r="C1035" s="845" t="s">
        <v>2737</v>
      </c>
      <c r="D1035" s="845" t="s">
        <v>2738</v>
      </c>
      <c r="E1035" s="843">
        <v>2018</v>
      </c>
      <c r="F1035" s="844" t="s">
        <v>2739</v>
      </c>
      <c r="G1035" s="842" t="s">
        <v>2740</v>
      </c>
      <c r="H1035" s="843" t="s">
        <v>2741</v>
      </c>
      <c r="I1035" s="842" t="s">
        <v>2740</v>
      </c>
      <c r="J1035" s="840">
        <v>152970</v>
      </c>
      <c r="K1035" s="840">
        <v>627860</v>
      </c>
      <c r="L1035" s="841">
        <v>68826425</v>
      </c>
      <c r="M1035" s="840">
        <v>31109727</v>
      </c>
      <c r="N1035" s="839">
        <f>Indicadores[[#This Row],[Ventas]]/Indicadores[[#This Row],[Activos totales]]</f>
        <v>0.45200265740956325</v>
      </c>
      <c r="O1035" s="837">
        <f>IF(Indicadores[[#This Row],[Ventas]]=0,0,Indicadores[[#This Row],[EBITDA]]/Indicadores[[#This Row],[Ventas]])</f>
        <v>2.0182112173469088E-2</v>
      </c>
      <c r="P1035" s="837">
        <f>IF(Indicadores[[#This Row],[Ventas]]=0,0,Indicadores[[#This Row],[UAI]]/Indicadores[[#This Row],[Ventas]])</f>
        <v>4.9171116159264271E-3</v>
      </c>
      <c r="Q1035" s="837">
        <f>IFERROR(Indicadores[[#This Row],[Ventas]]/Indicadores[[#This Row],[Activos totales]],0)</f>
        <v>0.45200265740956325</v>
      </c>
    </row>
    <row r="1036" spans="1:17" hidden="1" x14ac:dyDescent="0.3">
      <c r="A1036" s="13" t="str">
        <f>MID(Indicadores[[#This Row],[CIIU]],2,4)</f>
        <v>3700</v>
      </c>
      <c r="B1036" s="13" t="str">
        <f>Indicadores[[#This Row],[CIIU]]&amp;Indicadores[[#This Row],[Año]]</f>
        <v>E37002018</v>
      </c>
      <c r="C1036" s="845" t="s">
        <v>2737</v>
      </c>
      <c r="D1036" s="845" t="s">
        <v>2742</v>
      </c>
      <c r="E1036" s="843">
        <v>2018</v>
      </c>
      <c r="F1036" s="844" t="s">
        <v>2743</v>
      </c>
      <c r="G1036" s="842" t="s">
        <v>2744</v>
      </c>
      <c r="H1036" s="843" t="s">
        <v>2745</v>
      </c>
      <c r="I1036" s="842" t="s">
        <v>2744</v>
      </c>
      <c r="J1036" s="840">
        <v>1813645</v>
      </c>
      <c r="K1036" s="840">
        <v>2452605</v>
      </c>
      <c r="L1036" s="841">
        <v>37896968</v>
      </c>
      <c r="M1036" s="840">
        <v>23068781</v>
      </c>
      <c r="N1036" s="839">
        <f>Indicadores[[#This Row],[Ventas]]/Indicadores[[#This Row],[Activos totales]]</f>
        <v>0.60872365831482877</v>
      </c>
      <c r="O1036" s="837">
        <f>IF(Indicadores[[#This Row],[Ventas]]=0,0,Indicadores[[#This Row],[EBITDA]]/Indicadores[[#This Row],[Ventas]])</f>
        <v>0.10631706113990158</v>
      </c>
      <c r="P1036" s="837">
        <f>IF(Indicadores[[#This Row],[Ventas]]=0,0,Indicadores[[#This Row],[UAI]]/Indicadores[[#This Row],[Ventas]])</f>
        <v>7.8619021958724222E-2</v>
      </c>
      <c r="Q1036" s="837">
        <f>IFERROR(Indicadores[[#This Row],[Ventas]]/Indicadores[[#This Row],[Activos totales]],0)</f>
        <v>0.60872365831482877</v>
      </c>
    </row>
    <row r="1037" spans="1:17" hidden="1" x14ac:dyDescent="0.3">
      <c r="A1037" s="13" t="str">
        <f>MID(Indicadores[[#This Row],[CIIU]],2,4)</f>
        <v>3811</v>
      </c>
      <c r="B1037" s="13" t="str">
        <f>Indicadores[[#This Row],[CIIU]]&amp;Indicadores[[#This Row],[Año]]</f>
        <v>E38112018</v>
      </c>
      <c r="C1037" s="845" t="s">
        <v>2737</v>
      </c>
      <c r="D1037" s="845" t="s">
        <v>2746</v>
      </c>
      <c r="E1037" s="843">
        <v>2018</v>
      </c>
      <c r="F1037" s="844" t="s">
        <v>2747</v>
      </c>
      <c r="G1037" s="842" t="s">
        <v>2748</v>
      </c>
      <c r="H1037" s="843" t="s">
        <v>2749</v>
      </c>
      <c r="I1037" s="842" t="s">
        <v>2748</v>
      </c>
      <c r="J1037" s="840">
        <v>11697873</v>
      </c>
      <c r="K1037" s="840">
        <v>12947491</v>
      </c>
      <c r="L1037" s="841">
        <v>272534525</v>
      </c>
      <c r="M1037" s="840">
        <v>69030452</v>
      </c>
      <c r="N1037" s="839">
        <f>Indicadores[[#This Row],[Ventas]]/Indicadores[[#This Row],[Activos totales]]</f>
        <v>0.25329066840247122</v>
      </c>
      <c r="O1037" s="837">
        <f>IF(Indicadores[[#This Row],[Ventas]]=0,0,Indicadores[[#This Row],[EBITDA]]/Indicadores[[#This Row],[Ventas]])</f>
        <v>0.18756201973007508</v>
      </c>
      <c r="P1037" s="837">
        <f>IF(Indicadores[[#This Row],[Ventas]]=0,0,Indicadores[[#This Row],[UAI]]/Indicadores[[#This Row],[Ventas]])</f>
        <v>0.16945960313283187</v>
      </c>
      <c r="Q1037" s="837">
        <f>IFERROR(Indicadores[[#This Row],[Ventas]]/Indicadores[[#This Row],[Activos totales]],0)</f>
        <v>0.25329066840247122</v>
      </c>
    </row>
    <row r="1038" spans="1:17" hidden="1" x14ac:dyDescent="0.3">
      <c r="A1038" s="13" t="str">
        <f>MID(Indicadores[[#This Row],[CIIU]],2,4)</f>
        <v>3821</v>
      </c>
      <c r="B1038" s="13" t="str">
        <f>Indicadores[[#This Row],[CIIU]]&amp;Indicadores[[#This Row],[Año]]</f>
        <v>E38212018</v>
      </c>
      <c r="C1038" s="845" t="s">
        <v>2737</v>
      </c>
      <c r="D1038" s="845" t="s">
        <v>2746</v>
      </c>
      <c r="E1038" s="843">
        <v>2018</v>
      </c>
      <c r="F1038" s="844" t="s">
        <v>2750</v>
      </c>
      <c r="G1038" s="838" t="s">
        <v>2751</v>
      </c>
      <c r="H1038" s="843" t="s">
        <v>2752</v>
      </c>
      <c r="I1038" s="842" t="s">
        <v>2751</v>
      </c>
      <c r="J1038" s="840">
        <v>-52711</v>
      </c>
      <c r="K1038" s="840">
        <v>625098</v>
      </c>
      <c r="L1038" s="841">
        <v>35829244</v>
      </c>
      <c r="M1038" s="840">
        <v>0</v>
      </c>
      <c r="N1038" s="839">
        <f>Indicadores[[#This Row],[Ventas]]/Indicadores[[#This Row],[Activos totales]]</f>
        <v>0</v>
      </c>
      <c r="O1038" s="837">
        <f>IF(Indicadores[[#This Row],[Ventas]]=0,0,Indicadores[[#This Row],[EBITDA]]/Indicadores[[#This Row],[Ventas]])</f>
        <v>0</v>
      </c>
      <c r="P1038" s="837">
        <f>IF(Indicadores[[#This Row],[Ventas]]=0,0,Indicadores[[#This Row],[UAI]]/Indicadores[[#This Row],[Ventas]])</f>
        <v>0</v>
      </c>
      <c r="Q1038" s="837">
        <f>IFERROR(Indicadores[[#This Row],[Ventas]]/Indicadores[[#This Row],[Activos totales]],0)</f>
        <v>0</v>
      </c>
    </row>
    <row r="1039" spans="1:17" hidden="1" x14ac:dyDescent="0.3">
      <c r="A1039" s="13" t="str">
        <f>MID(Indicadores[[#This Row],[CIIU]],2,4)</f>
        <v>3822</v>
      </c>
      <c r="B1039" s="13" t="str">
        <f>Indicadores[[#This Row],[CIIU]]&amp;Indicadores[[#This Row],[Año]]</f>
        <v>E38222018</v>
      </c>
      <c r="C1039" s="845" t="s">
        <v>2737</v>
      </c>
      <c r="D1039" s="845" t="s">
        <v>2746</v>
      </c>
      <c r="E1039" s="843">
        <v>2018</v>
      </c>
      <c r="F1039" s="844" t="s">
        <v>2753</v>
      </c>
      <c r="G1039" s="842" t="s">
        <v>2754</v>
      </c>
      <c r="H1039" s="843" t="s">
        <v>2755</v>
      </c>
      <c r="I1039" s="842" t="s">
        <v>2754</v>
      </c>
      <c r="J1039" s="840">
        <v>2683656</v>
      </c>
      <c r="K1039" s="840">
        <v>3319763</v>
      </c>
      <c r="L1039" s="841">
        <v>30572898</v>
      </c>
      <c r="M1039" s="840">
        <v>16370086</v>
      </c>
      <c r="N1039" s="839">
        <f>Indicadores[[#This Row],[Ventas]]/Indicadores[[#This Row],[Activos totales]]</f>
        <v>0.5354443664450782</v>
      </c>
      <c r="O1039" s="837">
        <f>IF(Indicadores[[#This Row],[Ventas]]=0,0,Indicadores[[#This Row],[EBITDA]]/Indicadores[[#This Row],[Ventas]])</f>
        <v>0.20279447523977578</v>
      </c>
      <c r="P1039" s="837">
        <f>IF(Indicadores[[#This Row],[Ventas]]=0,0,Indicadores[[#This Row],[UAI]]/Indicadores[[#This Row],[Ventas]])</f>
        <v>0.16393658530566058</v>
      </c>
      <c r="Q1039" s="837">
        <f>IFERROR(Indicadores[[#This Row],[Ventas]]/Indicadores[[#This Row],[Activos totales]],0)</f>
        <v>0.5354443664450782</v>
      </c>
    </row>
    <row r="1040" spans="1:17" hidden="1" x14ac:dyDescent="0.3">
      <c r="A1040" s="13" t="str">
        <f>MID(Indicadores[[#This Row],[CIIU]],2,4)</f>
        <v>3830</v>
      </c>
      <c r="B1040" s="13" t="str">
        <f>Indicadores[[#This Row],[CIIU]]&amp;Indicadores[[#This Row],[Año]]</f>
        <v>E38302018</v>
      </c>
      <c r="C1040" s="845" t="s">
        <v>2737</v>
      </c>
      <c r="D1040" s="845" t="s">
        <v>2746</v>
      </c>
      <c r="E1040" s="843">
        <v>2018</v>
      </c>
      <c r="F1040" s="844" t="s">
        <v>2756</v>
      </c>
      <c r="G1040" s="842" t="s">
        <v>2757</v>
      </c>
      <c r="H1040" s="843" t="s">
        <v>2758</v>
      </c>
      <c r="I1040" s="842" t="s">
        <v>2757</v>
      </c>
      <c r="J1040" s="840">
        <v>605077</v>
      </c>
      <c r="K1040" s="840">
        <v>998031</v>
      </c>
      <c r="L1040" s="841">
        <v>28206424</v>
      </c>
      <c r="M1040" s="840">
        <v>30309953</v>
      </c>
      <c r="N1040" s="839">
        <f>Indicadores[[#This Row],[Ventas]]/Indicadores[[#This Row],[Activos totales]]</f>
        <v>1.0745762383774704</v>
      </c>
      <c r="O1040" s="833">
        <f>IF(Indicadores[[#This Row],[Ventas]]=0,0,Indicadores[[#This Row],[EBITDA]]/Indicadores[[#This Row],[Ventas]])</f>
        <v>3.292750074538222E-2</v>
      </c>
      <c r="P1040" s="833">
        <f>IF(Indicadores[[#This Row],[Ventas]]=0,0,Indicadores[[#This Row],[UAI]]/Indicadores[[#This Row],[Ventas]])</f>
        <v>1.9962980477072994E-2</v>
      </c>
      <c r="Q1040" s="833">
        <f>IFERROR(Indicadores[[#This Row],[Ventas]]/Indicadores[[#This Row],[Activos totales]],0)</f>
        <v>1.0745762383774704</v>
      </c>
    </row>
    <row r="1041" spans="1:17" hidden="1" x14ac:dyDescent="0.3">
      <c r="A1041" s="13" t="str">
        <f>MID(Indicadores[[#This Row],[CIIU]],2,4)</f>
        <v>3900</v>
      </c>
      <c r="B1041" s="13" t="str">
        <f>Indicadores[[#This Row],[CIIU]]&amp;Indicadores[[#This Row],[Año]]</f>
        <v>E39002018</v>
      </c>
      <c r="C1041" s="845" t="s">
        <v>2737</v>
      </c>
      <c r="D1041" s="845" t="s">
        <v>2759</v>
      </c>
      <c r="E1041" s="843">
        <v>2018</v>
      </c>
      <c r="F1041" s="844" t="s">
        <v>2760</v>
      </c>
      <c r="G1041" s="842" t="s">
        <v>2761</v>
      </c>
      <c r="H1041" s="843" t="s">
        <v>2762</v>
      </c>
      <c r="I1041" s="842" t="s">
        <v>2761</v>
      </c>
      <c r="J1041" s="840">
        <v>-16487</v>
      </c>
      <c r="K1041" s="840">
        <v>2343480</v>
      </c>
      <c r="L1041" s="841">
        <v>38330096</v>
      </c>
      <c r="M1041" s="840">
        <v>28755942</v>
      </c>
      <c r="N1041" s="839">
        <f>Indicadores[[#This Row],[Ventas]]/Indicadores[[#This Row],[Activos totales]]</f>
        <v>0.75021836626759297</v>
      </c>
      <c r="O1041" s="837">
        <f>IF(Indicadores[[#This Row],[Ventas]]=0,0,Indicadores[[#This Row],[EBITDA]]/Indicadores[[#This Row],[Ventas]])</f>
        <v>8.1495504476952974E-2</v>
      </c>
      <c r="P1041" s="837">
        <f>IF(Indicadores[[#This Row],[Ventas]]=0,0,Indicadores[[#This Row],[UAI]]/Indicadores[[#This Row],[Ventas]])</f>
        <v>-5.733423721608564E-4</v>
      </c>
      <c r="Q1041" s="837">
        <f>IFERROR(Indicadores[[#This Row],[Ventas]]/Indicadores[[#This Row],[Activos totales]],0)</f>
        <v>0.75021836626759297</v>
      </c>
    </row>
    <row r="1042" spans="1:17" hidden="1" x14ac:dyDescent="0.3">
      <c r="A1042" s="13" t="str">
        <f>MID(Indicadores[[#This Row],[CIIU]],2,4)</f>
        <v>4111</v>
      </c>
      <c r="B1042" s="13" t="str">
        <f>Indicadores[[#This Row],[CIIU]]&amp;Indicadores[[#This Row],[Año]]</f>
        <v>F41112018</v>
      </c>
      <c r="C1042" s="845" t="s">
        <v>2763</v>
      </c>
      <c r="D1042" s="845" t="s">
        <v>2764</v>
      </c>
      <c r="E1042" s="843">
        <v>2018</v>
      </c>
      <c r="F1042" s="844" t="s">
        <v>2765</v>
      </c>
      <c r="G1042" s="842" t="s">
        <v>2766</v>
      </c>
      <c r="H1042" s="843" t="s">
        <v>2767</v>
      </c>
      <c r="I1042" s="842" t="s">
        <v>2766</v>
      </c>
      <c r="J1042" s="840">
        <v>1817597787</v>
      </c>
      <c r="K1042" s="840">
        <v>1941245279</v>
      </c>
      <c r="L1042" s="841">
        <v>51703675267</v>
      </c>
      <c r="M1042" s="840">
        <v>17392982558</v>
      </c>
      <c r="N1042" s="839">
        <f>Indicadores[[#This Row],[Ventas]]/Indicadores[[#This Row],[Activos totales]]</f>
        <v>0.33639741214104973</v>
      </c>
      <c r="O1042" s="837">
        <f>IF(Indicadores[[#This Row],[Ventas]]=0,0,Indicadores[[#This Row],[EBITDA]]/Indicadores[[#This Row],[Ventas]])</f>
        <v>0.11161083342242031</v>
      </c>
      <c r="P1042" s="837">
        <f>IF(Indicadores[[#This Row],[Ventas]]=0,0,Indicadores[[#This Row],[UAI]]/Indicadores[[#This Row],[Ventas]])</f>
        <v>0.10450178863451948</v>
      </c>
      <c r="Q1042" s="837">
        <f>IFERROR(Indicadores[[#This Row],[Ventas]]/Indicadores[[#This Row],[Activos totales]],0)</f>
        <v>0.33639741214104973</v>
      </c>
    </row>
    <row r="1043" spans="1:17" hidden="1" x14ac:dyDescent="0.3">
      <c r="A1043" s="13" t="str">
        <f>MID(Indicadores[[#This Row],[CIIU]],2,4)</f>
        <v>4112</v>
      </c>
      <c r="B1043" s="13" t="str">
        <f>Indicadores[[#This Row],[CIIU]]&amp;Indicadores[[#This Row],[Año]]</f>
        <v>F41122018</v>
      </c>
      <c r="C1043" s="845" t="s">
        <v>2763</v>
      </c>
      <c r="D1043" s="845" t="s">
        <v>2764</v>
      </c>
      <c r="E1043" s="843">
        <v>2018</v>
      </c>
      <c r="F1043" s="844" t="s">
        <v>2768</v>
      </c>
      <c r="G1043" s="842" t="s">
        <v>2769</v>
      </c>
      <c r="H1043" s="843" t="s">
        <v>2770</v>
      </c>
      <c r="I1043" s="842" t="s">
        <v>2769</v>
      </c>
      <c r="J1043" s="840">
        <v>206086522</v>
      </c>
      <c r="K1043" s="840">
        <v>230167944</v>
      </c>
      <c r="L1043" s="841">
        <v>5742977850</v>
      </c>
      <c r="M1043" s="840">
        <v>1529074061</v>
      </c>
      <c r="N1043" s="839">
        <f>Indicadores[[#This Row],[Ventas]]/Indicadores[[#This Row],[Activos totales]]</f>
        <v>0.26625108104848427</v>
      </c>
      <c r="O1043" s="837">
        <f>IF(Indicadores[[#This Row],[Ventas]]=0,0,Indicadores[[#This Row],[EBITDA]]/Indicadores[[#This Row],[Ventas]])</f>
        <v>0.1505276623746219</v>
      </c>
      <c r="P1043" s="837">
        <f>IF(Indicadores[[#This Row],[Ventas]]=0,0,Indicadores[[#This Row],[UAI]]/Indicadores[[#This Row],[Ventas]])</f>
        <v>0.13477863973784329</v>
      </c>
      <c r="Q1043" s="837">
        <f>IFERROR(Indicadores[[#This Row],[Ventas]]/Indicadores[[#This Row],[Activos totales]],0)</f>
        <v>0.26625108104848427</v>
      </c>
    </row>
    <row r="1044" spans="1:17" hidden="1" x14ac:dyDescent="0.3">
      <c r="A1044" s="13" t="str">
        <f>MID(Indicadores[[#This Row],[CIIU]],2,4)</f>
        <v>4210</v>
      </c>
      <c r="B1044" s="13" t="str">
        <f>Indicadores[[#This Row],[CIIU]]&amp;Indicadores[[#This Row],[Año]]</f>
        <v>F42102018</v>
      </c>
      <c r="C1044" s="845" t="s">
        <v>2763</v>
      </c>
      <c r="D1044" s="845" t="s">
        <v>2771</v>
      </c>
      <c r="E1044" s="843">
        <v>2018</v>
      </c>
      <c r="F1044" s="844" t="s">
        <v>2772</v>
      </c>
      <c r="G1044" s="842" t="s">
        <v>2773</v>
      </c>
      <c r="H1044" s="843" t="s">
        <v>2774</v>
      </c>
      <c r="I1044" s="842" t="s">
        <v>2773</v>
      </c>
      <c r="J1044" s="840">
        <v>814668641</v>
      </c>
      <c r="K1044" s="840">
        <v>1083841431</v>
      </c>
      <c r="L1044" s="841">
        <v>19573262887</v>
      </c>
      <c r="M1044" s="840">
        <v>7298523677</v>
      </c>
      <c r="N1044" s="839">
        <f>Indicadores[[#This Row],[Ventas]]/Indicadores[[#This Row],[Activos totales]]</f>
        <v>0.37288232008815814</v>
      </c>
      <c r="O1044" s="837">
        <f>IF(Indicadores[[#This Row],[Ventas]]=0,0,Indicadores[[#This Row],[EBITDA]]/Indicadores[[#This Row],[Ventas]])</f>
        <v>0.1485014612496954</v>
      </c>
      <c r="P1044" s="837">
        <f>IF(Indicadores[[#This Row],[Ventas]]=0,0,Indicadores[[#This Row],[UAI]]/Indicadores[[#This Row],[Ventas]])</f>
        <v>0.11162101776380934</v>
      </c>
      <c r="Q1044" s="837">
        <f>IFERROR(Indicadores[[#This Row],[Ventas]]/Indicadores[[#This Row],[Activos totales]],0)</f>
        <v>0.37288232008815814</v>
      </c>
    </row>
    <row r="1045" spans="1:17" hidden="1" x14ac:dyDescent="0.3">
      <c r="A1045" s="13" t="str">
        <f>MID(Indicadores[[#This Row],[CIIU]],2,4)</f>
        <v>4220</v>
      </c>
      <c r="B1045" s="13" t="str">
        <f>Indicadores[[#This Row],[CIIU]]&amp;Indicadores[[#This Row],[Año]]</f>
        <v>F42202018</v>
      </c>
      <c r="C1045" s="845" t="s">
        <v>2763</v>
      </c>
      <c r="D1045" s="845" t="s">
        <v>2771</v>
      </c>
      <c r="E1045" s="843">
        <v>2018</v>
      </c>
      <c r="F1045" s="844" t="s">
        <v>2775</v>
      </c>
      <c r="G1045" s="842" t="s">
        <v>2776</v>
      </c>
      <c r="H1045" s="843" t="s">
        <v>2777</v>
      </c>
      <c r="I1045" s="842" t="s">
        <v>2776</v>
      </c>
      <c r="J1045" s="840">
        <v>91572635</v>
      </c>
      <c r="K1045" s="840">
        <v>106144364</v>
      </c>
      <c r="L1045" s="841">
        <v>1804312224</v>
      </c>
      <c r="M1045" s="840">
        <v>1333406208</v>
      </c>
      <c r="N1045" s="839">
        <f>Indicadores[[#This Row],[Ventas]]/Indicadores[[#This Row],[Activos totales]]</f>
        <v>0.73901079328939911</v>
      </c>
      <c r="O1045" s="837">
        <f>IF(Indicadores[[#This Row],[Ventas]]=0,0,Indicadores[[#This Row],[EBITDA]]/Indicadores[[#This Row],[Ventas]])</f>
        <v>7.9603922168029986E-2</v>
      </c>
      <c r="P1045" s="837">
        <f>IF(Indicadores[[#This Row],[Ventas]]=0,0,Indicadores[[#This Row],[UAI]]/Indicadores[[#This Row],[Ventas]])</f>
        <v>6.8675722709699585E-2</v>
      </c>
      <c r="Q1045" s="837">
        <f>IFERROR(Indicadores[[#This Row],[Ventas]]/Indicadores[[#This Row],[Activos totales]],0)</f>
        <v>0.73901079328939911</v>
      </c>
    </row>
    <row r="1046" spans="1:17" hidden="1" x14ac:dyDescent="0.3">
      <c r="A1046" s="13" t="str">
        <f>MID(Indicadores[[#This Row],[CIIU]],2,4)</f>
        <v>4290</v>
      </c>
      <c r="B1046" s="13" t="str">
        <f>Indicadores[[#This Row],[CIIU]]&amp;Indicadores[[#This Row],[Año]]</f>
        <v>F42902018</v>
      </c>
      <c r="C1046" s="845" t="s">
        <v>2763</v>
      </c>
      <c r="D1046" s="845" t="s">
        <v>2771</v>
      </c>
      <c r="E1046" s="843">
        <v>2018</v>
      </c>
      <c r="F1046" s="844" t="s">
        <v>2778</v>
      </c>
      <c r="G1046" s="842" t="s">
        <v>2779</v>
      </c>
      <c r="H1046" s="843" t="s">
        <v>2780</v>
      </c>
      <c r="I1046" s="842" t="s">
        <v>2779</v>
      </c>
      <c r="J1046" s="840">
        <v>108703641</v>
      </c>
      <c r="K1046" s="840">
        <v>415733625</v>
      </c>
      <c r="L1046" s="841">
        <v>23315917799</v>
      </c>
      <c r="M1046" s="840">
        <v>11097919604</v>
      </c>
      <c r="N1046" s="839">
        <f>Indicadores[[#This Row],[Ventas]]/Indicadores[[#This Row],[Activos totales]]</f>
        <v>0.47598038814821952</v>
      </c>
      <c r="O1046" s="837">
        <f>IF(Indicadores[[#This Row],[Ventas]]=0,0,Indicadores[[#This Row],[EBITDA]]/Indicadores[[#This Row],[Ventas]])</f>
        <v>3.7460500691513209E-2</v>
      </c>
      <c r="P1046" s="837">
        <f>IF(Indicadores[[#This Row],[Ventas]]=0,0,Indicadores[[#This Row],[UAI]]/Indicadores[[#This Row],[Ventas]])</f>
        <v>9.7949566115815238E-3</v>
      </c>
      <c r="Q1046" s="837">
        <f>IFERROR(Indicadores[[#This Row],[Ventas]]/Indicadores[[#This Row],[Activos totales]],0)</f>
        <v>0.47598038814821952</v>
      </c>
    </row>
    <row r="1047" spans="1:17" hidden="1" x14ac:dyDescent="0.3">
      <c r="A1047" s="13" t="str">
        <f>MID(Indicadores[[#This Row],[CIIU]],2,4)</f>
        <v>4311</v>
      </c>
      <c r="B1047" s="13" t="str">
        <f>Indicadores[[#This Row],[CIIU]]&amp;Indicadores[[#This Row],[Año]]</f>
        <v>F43112018</v>
      </c>
      <c r="C1047" s="845" t="s">
        <v>2763</v>
      </c>
      <c r="D1047" s="845" t="s">
        <v>2781</v>
      </c>
      <c r="E1047" s="843">
        <v>2018</v>
      </c>
      <c r="F1047" s="844" t="s">
        <v>2782</v>
      </c>
      <c r="G1047" s="842" t="s">
        <v>2783</v>
      </c>
      <c r="H1047" s="843" t="s">
        <v>2784</v>
      </c>
      <c r="I1047" s="842" t="s">
        <v>2783</v>
      </c>
      <c r="J1047" s="840">
        <v>1900707</v>
      </c>
      <c r="K1047" s="840">
        <v>2712532</v>
      </c>
      <c r="L1047" s="841">
        <v>84033148</v>
      </c>
      <c r="M1047" s="840">
        <v>15299924</v>
      </c>
      <c r="N1047" s="839">
        <f>Indicadores[[#This Row],[Ventas]]/Indicadores[[#This Row],[Activos totales]]</f>
        <v>0.18207010404989232</v>
      </c>
      <c r="O1047" s="837">
        <f>IF(Indicadores[[#This Row],[Ventas]]=0,0,Indicadores[[#This Row],[EBITDA]]/Indicadores[[#This Row],[Ventas]])</f>
        <v>0.17729055386157475</v>
      </c>
      <c r="P1047" s="837">
        <f>IF(Indicadores[[#This Row],[Ventas]]=0,0,Indicadores[[#This Row],[UAI]]/Indicadores[[#This Row],[Ventas]])</f>
        <v>0.12422983277563993</v>
      </c>
      <c r="Q1047" s="837">
        <f>IFERROR(Indicadores[[#This Row],[Ventas]]/Indicadores[[#This Row],[Activos totales]],0)</f>
        <v>0.18207010404989232</v>
      </c>
    </row>
    <row r="1048" spans="1:17" hidden="1" x14ac:dyDescent="0.3">
      <c r="A1048" s="13" t="str">
        <f>MID(Indicadores[[#This Row],[CIIU]],2,4)</f>
        <v>4312</v>
      </c>
      <c r="B1048" s="13" t="str">
        <f>Indicadores[[#This Row],[CIIU]]&amp;Indicadores[[#This Row],[Año]]</f>
        <v>F43122018</v>
      </c>
      <c r="C1048" s="845" t="s">
        <v>2763</v>
      </c>
      <c r="D1048" s="845" t="s">
        <v>2781</v>
      </c>
      <c r="E1048" s="843">
        <v>2018</v>
      </c>
      <c r="F1048" s="844" t="s">
        <v>2785</v>
      </c>
      <c r="G1048" s="842" t="s">
        <v>2786</v>
      </c>
      <c r="H1048" s="843" t="s">
        <v>2787</v>
      </c>
      <c r="I1048" s="842" t="s">
        <v>2786</v>
      </c>
      <c r="J1048" s="840">
        <v>71996667</v>
      </c>
      <c r="K1048" s="840">
        <v>86538448</v>
      </c>
      <c r="L1048" s="841">
        <v>1158720316</v>
      </c>
      <c r="M1048" s="840">
        <v>622785184</v>
      </c>
      <c r="N1048" s="839">
        <f>Indicadores[[#This Row],[Ventas]]/Indicadores[[#This Row],[Activos totales]]</f>
        <v>0.53747671064395142</v>
      </c>
      <c r="O1048" s="837">
        <f>IF(Indicadores[[#This Row],[Ventas]]=0,0,Indicadores[[#This Row],[EBITDA]]/Indicadores[[#This Row],[Ventas]])</f>
        <v>0.13895392861497488</v>
      </c>
      <c r="P1048" s="837">
        <f>IF(Indicadores[[#This Row],[Ventas]]=0,0,Indicadores[[#This Row],[UAI]]/Indicadores[[#This Row],[Ventas]])</f>
        <v>0.11560433492907243</v>
      </c>
      <c r="Q1048" s="837">
        <f>IFERROR(Indicadores[[#This Row],[Ventas]]/Indicadores[[#This Row],[Activos totales]],0)</f>
        <v>0.53747671064395142</v>
      </c>
    </row>
    <row r="1049" spans="1:17" hidden="1" x14ac:dyDescent="0.3">
      <c r="A1049" s="13" t="str">
        <f>MID(Indicadores[[#This Row],[CIIU]],2,4)</f>
        <v>4321</v>
      </c>
      <c r="B1049" s="13" t="str">
        <f>Indicadores[[#This Row],[CIIU]]&amp;Indicadores[[#This Row],[Año]]</f>
        <v>F43212018</v>
      </c>
      <c r="C1049" s="845" t="s">
        <v>2763</v>
      </c>
      <c r="D1049" s="845" t="s">
        <v>2781</v>
      </c>
      <c r="E1049" s="843">
        <v>2018</v>
      </c>
      <c r="F1049" s="844" t="s">
        <v>2788</v>
      </c>
      <c r="G1049" s="842" t="s">
        <v>2789</v>
      </c>
      <c r="H1049" s="843" t="s">
        <v>2790</v>
      </c>
      <c r="I1049" s="842" t="s">
        <v>2789</v>
      </c>
      <c r="J1049" s="840">
        <v>69907463</v>
      </c>
      <c r="K1049" s="840">
        <v>87107899</v>
      </c>
      <c r="L1049" s="841">
        <v>1521415523</v>
      </c>
      <c r="M1049" s="840">
        <v>1814356131</v>
      </c>
      <c r="N1049" s="839">
        <f>Indicadores[[#This Row],[Ventas]]/Indicadores[[#This Row],[Activos totales]]</f>
        <v>1.1925447739762545</v>
      </c>
      <c r="O1049" s="837">
        <f>IF(Indicadores[[#This Row],[Ventas]]=0,0,Indicadores[[#This Row],[EBITDA]]/Indicadores[[#This Row],[Ventas]])</f>
        <v>4.8010364399622932E-2</v>
      </c>
      <c r="P1049" s="837">
        <f>IF(Indicadores[[#This Row],[Ventas]]=0,0,Indicadores[[#This Row],[UAI]]/Indicadores[[#This Row],[Ventas]])</f>
        <v>3.8530177072496688E-2</v>
      </c>
      <c r="Q1049" s="837">
        <f>IFERROR(Indicadores[[#This Row],[Ventas]]/Indicadores[[#This Row],[Activos totales]],0)</f>
        <v>1.1925447739762545</v>
      </c>
    </row>
    <row r="1050" spans="1:17" hidden="1" x14ac:dyDescent="0.3">
      <c r="A1050" s="13" t="str">
        <f>MID(Indicadores[[#This Row],[CIIU]],2,4)</f>
        <v>4322</v>
      </c>
      <c r="B1050" s="13" t="str">
        <f>Indicadores[[#This Row],[CIIU]]&amp;Indicadores[[#This Row],[Año]]</f>
        <v>F43222018</v>
      </c>
      <c r="C1050" s="845" t="s">
        <v>2763</v>
      </c>
      <c r="D1050" s="845" t="s">
        <v>2781</v>
      </c>
      <c r="E1050" s="843">
        <v>2018</v>
      </c>
      <c r="F1050" s="844" t="s">
        <v>2791</v>
      </c>
      <c r="G1050" s="842" t="s">
        <v>2792</v>
      </c>
      <c r="H1050" s="843" t="s">
        <v>2793</v>
      </c>
      <c r="I1050" s="842" t="s">
        <v>2792</v>
      </c>
      <c r="J1050" s="840">
        <v>14859301</v>
      </c>
      <c r="K1050" s="840">
        <v>17590046</v>
      </c>
      <c r="L1050" s="841">
        <v>258375959</v>
      </c>
      <c r="M1050" s="840">
        <v>318386032</v>
      </c>
      <c r="N1050" s="839">
        <f>Indicadores[[#This Row],[Ventas]]/Indicadores[[#This Row],[Activos totales]]</f>
        <v>1.2322587334837913</v>
      </c>
      <c r="O1050" s="837">
        <f>IF(Indicadores[[#This Row],[Ventas]]=0,0,Indicadores[[#This Row],[EBITDA]]/Indicadores[[#This Row],[Ventas]])</f>
        <v>5.524754302035461E-2</v>
      </c>
      <c r="P1050" s="837">
        <f>IF(Indicadores[[#This Row],[Ventas]]=0,0,Indicadores[[#This Row],[UAI]]/Indicadores[[#This Row],[Ventas]])</f>
        <v>4.6670706332996414E-2</v>
      </c>
      <c r="Q1050" s="837">
        <f>IFERROR(Indicadores[[#This Row],[Ventas]]/Indicadores[[#This Row],[Activos totales]],0)</f>
        <v>1.2322587334837913</v>
      </c>
    </row>
    <row r="1051" spans="1:17" hidden="1" x14ac:dyDescent="0.3">
      <c r="A1051" s="13" t="str">
        <f>MID(Indicadores[[#This Row],[CIIU]],2,4)</f>
        <v>4329</v>
      </c>
      <c r="B1051" s="13" t="str">
        <f>Indicadores[[#This Row],[CIIU]]&amp;Indicadores[[#This Row],[Año]]</f>
        <v>F43292018</v>
      </c>
      <c r="C1051" s="845" t="s">
        <v>2763</v>
      </c>
      <c r="D1051" s="845" t="s">
        <v>2781</v>
      </c>
      <c r="E1051" s="843">
        <v>2018</v>
      </c>
      <c r="F1051" s="844" t="s">
        <v>2794</v>
      </c>
      <c r="G1051" s="842" t="s">
        <v>2795</v>
      </c>
      <c r="H1051" s="843" t="s">
        <v>2796</v>
      </c>
      <c r="I1051" s="842" t="s">
        <v>2795</v>
      </c>
      <c r="J1051" s="840">
        <v>46756363</v>
      </c>
      <c r="K1051" s="840">
        <v>53292083</v>
      </c>
      <c r="L1051" s="841">
        <v>391840544</v>
      </c>
      <c r="M1051" s="840">
        <v>423690607</v>
      </c>
      <c r="N1051" s="839">
        <f>Indicadores[[#This Row],[Ventas]]/Indicadores[[#This Row],[Activos totales]]</f>
        <v>1.0812832247395001</v>
      </c>
      <c r="O1051" s="837">
        <f>IF(Indicadores[[#This Row],[Ventas]]=0,0,Indicadores[[#This Row],[EBITDA]]/Indicadores[[#This Row],[Ventas]])</f>
        <v>0.1257806572048929</v>
      </c>
      <c r="P1051" s="837">
        <f>IF(Indicadores[[#This Row],[Ventas]]=0,0,Indicadores[[#This Row],[UAI]]/Indicadores[[#This Row],[Ventas]])</f>
        <v>0.11035496710928973</v>
      </c>
      <c r="Q1051" s="837">
        <f>IFERROR(Indicadores[[#This Row],[Ventas]]/Indicadores[[#This Row],[Activos totales]],0)</f>
        <v>1.0812832247395001</v>
      </c>
    </row>
    <row r="1052" spans="1:17" hidden="1" x14ac:dyDescent="0.3">
      <c r="A1052" s="13" t="str">
        <f>MID(Indicadores[[#This Row],[CIIU]],2,4)</f>
        <v>4330</v>
      </c>
      <c r="B1052" s="13" t="str">
        <f>Indicadores[[#This Row],[CIIU]]&amp;Indicadores[[#This Row],[Año]]</f>
        <v>F43302018</v>
      </c>
      <c r="C1052" s="845" t="s">
        <v>2763</v>
      </c>
      <c r="D1052" s="845" t="s">
        <v>2781</v>
      </c>
      <c r="E1052" s="843">
        <v>2018</v>
      </c>
      <c r="F1052" s="844" t="s">
        <v>2797</v>
      </c>
      <c r="G1052" s="842" t="s">
        <v>2798</v>
      </c>
      <c r="H1052" s="843" t="s">
        <v>2799</v>
      </c>
      <c r="I1052" s="842" t="s">
        <v>2798</v>
      </c>
      <c r="J1052" s="840">
        <v>17362375</v>
      </c>
      <c r="K1052" s="840">
        <v>18938832</v>
      </c>
      <c r="L1052" s="841">
        <v>379259102</v>
      </c>
      <c r="M1052" s="840">
        <v>215525094</v>
      </c>
      <c r="N1052" s="839">
        <f>Indicadores[[#This Row],[Ventas]]/Indicadores[[#This Row],[Activos totales]]</f>
        <v>0.56827929208143302</v>
      </c>
      <c r="O1052" s="837">
        <f>IF(Indicadores[[#This Row],[Ventas]]=0,0,Indicadores[[#This Row],[EBITDA]]/Indicadores[[#This Row],[Ventas]])</f>
        <v>8.7872978726087458E-2</v>
      </c>
      <c r="P1052" s="837">
        <f>IF(Indicadores[[#This Row],[Ventas]]=0,0,Indicadores[[#This Row],[UAI]]/Indicadores[[#This Row],[Ventas]])</f>
        <v>8.0558484758159993E-2</v>
      </c>
      <c r="Q1052" s="837">
        <f>IFERROR(Indicadores[[#This Row],[Ventas]]/Indicadores[[#This Row],[Activos totales]],0)</f>
        <v>0.56827929208143302</v>
      </c>
    </row>
    <row r="1053" spans="1:17" hidden="1" x14ac:dyDescent="0.3">
      <c r="A1053" s="13" t="str">
        <f>MID(Indicadores[[#This Row],[CIIU]],2,4)</f>
        <v>4390</v>
      </c>
      <c r="B1053" s="13" t="str">
        <f>Indicadores[[#This Row],[CIIU]]&amp;Indicadores[[#This Row],[Año]]</f>
        <v>F43902018</v>
      </c>
      <c r="C1053" s="845" t="s">
        <v>2763</v>
      </c>
      <c r="D1053" s="845" t="s">
        <v>2781</v>
      </c>
      <c r="E1053" s="843">
        <v>2018</v>
      </c>
      <c r="F1053" s="844" t="s">
        <v>2800</v>
      </c>
      <c r="G1053" s="842" t="s">
        <v>2801</v>
      </c>
      <c r="H1053" s="843" t="s">
        <v>2802</v>
      </c>
      <c r="I1053" s="842" t="s">
        <v>2801</v>
      </c>
      <c r="J1053" s="840">
        <v>111633914</v>
      </c>
      <c r="K1053" s="840">
        <v>137526643</v>
      </c>
      <c r="L1053" s="841">
        <v>2267162501</v>
      </c>
      <c r="M1053" s="840">
        <v>1275525910</v>
      </c>
      <c r="N1053" s="839">
        <f>Indicadores[[#This Row],[Ventas]]/Indicadores[[#This Row],[Activos totales]]</f>
        <v>0.56260894816202678</v>
      </c>
      <c r="O1053" s="837">
        <f>IF(Indicadores[[#This Row],[Ventas]]=0,0,Indicadores[[#This Row],[EBITDA]]/Indicadores[[#This Row],[Ventas]])</f>
        <v>0.10781956048231117</v>
      </c>
      <c r="P1053" s="837">
        <f>IF(Indicadores[[#This Row],[Ventas]]=0,0,Indicadores[[#This Row],[UAI]]/Indicadores[[#This Row],[Ventas]])</f>
        <v>8.7519910904828274E-2</v>
      </c>
      <c r="Q1053" s="837">
        <f>IFERROR(Indicadores[[#This Row],[Ventas]]/Indicadores[[#This Row],[Activos totales]],0)</f>
        <v>0.56260894816202678</v>
      </c>
    </row>
    <row r="1054" spans="1:17" hidden="1" x14ac:dyDescent="0.3">
      <c r="A1054" s="13" t="str">
        <f>MID(Indicadores[[#This Row],[CIIU]],2,4)</f>
        <v>4511</v>
      </c>
      <c r="B1054" s="13" t="str">
        <f>Indicadores[[#This Row],[CIIU]]&amp;Indicadores[[#This Row],[Año]]</f>
        <v>G45112018</v>
      </c>
      <c r="C1054" s="845" t="s">
        <v>2803</v>
      </c>
      <c r="D1054" s="845" t="s">
        <v>2804</v>
      </c>
      <c r="E1054" s="843">
        <v>2018</v>
      </c>
      <c r="F1054" s="844" t="s">
        <v>2805</v>
      </c>
      <c r="G1054" s="842" t="s">
        <v>2806</v>
      </c>
      <c r="H1054" s="843" t="s">
        <v>2807</v>
      </c>
      <c r="I1054" s="842" t="s">
        <v>2806</v>
      </c>
      <c r="J1054" s="840">
        <v>591960879</v>
      </c>
      <c r="K1054" s="840">
        <v>737386726</v>
      </c>
      <c r="L1054" s="841">
        <v>13953136537</v>
      </c>
      <c r="M1054" s="840">
        <v>24603103282</v>
      </c>
      <c r="N1054" s="839">
        <f>Indicadores[[#This Row],[Ventas]]/Indicadores[[#This Row],[Activos totales]]</f>
        <v>1.7632668623831729</v>
      </c>
      <c r="O1054" s="837">
        <f>IF(Indicadores[[#This Row],[Ventas]]=0,0,Indicadores[[#This Row],[EBITDA]]/Indicadores[[#This Row],[Ventas]])</f>
        <v>2.9971289294203923E-2</v>
      </c>
      <c r="P1054" s="837">
        <f>IF(Indicadores[[#This Row],[Ventas]]=0,0,Indicadores[[#This Row],[UAI]]/Indicadores[[#This Row],[Ventas]])</f>
        <v>2.4060415152306721E-2</v>
      </c>
      <c r="Q1054" s="837">
        <f>IFERROR(Indicadores[[#This Row],[Ventas]]/Indicadores[[#This Row],[Activos totales]],0)</f>
        <v>1.7632668623831729</v>
      </c>
    </row>
    <row r="1055" spans="1:17" hidden="1" x14ac:dyDescent="0.3">
      <c r="A1055" s="13" t="str">
        <f>MID(Indicadores[[#This Row],[CIIU]],2,4)</f>
        <v>4512</v>
      </c>
      <c r="B1055" s="13" t="str">
        <f>Indicadores[[#This Row],[CIIU]]&amp;Indicadores[[#This Row],[Año]]</f>
        <v>G45122018</v>
      </c>
      <c r="C1055" s="845" t="s">
        <v>2803</v>
      </c>
      <c r="D1055" s="845" t="s">
        <v>2804</v>
      </c>
      <c r="E1055" s="843">
        <v>2018</v>
      </c>
      <c r="F1055" s="844" t="s">
        <v>2808</v>
      </c>
      <c r="G1055" s="842" t="s">
        <v>2809</v>
      </c>
      <c r="H1055" s="843" t="s">
        <v>2810</v>
      </c>
      <c r="I1055" s="842" t="s">
        <v>2809</v>
      </c>
      <c r="J1055" s="840">
        <v>1967635</v>
      </c>
      <c r="K1055" s="840">
        <v>2110423</v>
      </c>
      <c r="L1055" s="841">
        <v>227564461</v>
      </c>
      <c r="M1055" s="840">
        <v>86859530</v>
      </c>
      <c r="N1055" s="839">
        <f>Indicadores[[#This Row],[Ventas]]/Indicadores[[#This Row],[Activos totales]]</f>
        <v>0.38169198133270904</v>
      </c>
      <c r="O1055" s="837">
        <f>IF(Indicadores[[#This Row],[Ventas]]=0,0,Indicadores[[#This Row],[EBITDA]]/Indicadores[[#This Row],[Ventas]])</f>
        <v>2.4296965456755294E-2</v>
      </c>
      <c r="P1055" s="837">
        <f>IF(Indicadores[[#This Row],[Ventas]]=0,0,Indicadores[[#This Row],[UAI]]/Indicadores[[#This Row],[Ventas]])</f>
        <v>2.2653069847373111E-2</v>
      </c>
      <c r="Q1055" s="837">
        <f>IFERROR(Indicadores[[#This Row],[Ventas]]/Indicadores[[#This Row],[Activos totales]],0)</f>
        <v>0.38169198133270904</v>
      </c>
    </row>
    <row r="1056" spans="1:17" hidden="1" x14ac:dyDescent="0.3">
      <c r="A1056" s="13" t="str">
        <f>MID(Indicadores[[#This Row],[CIIU]],2,4)</f>
        <v>4520</v>
      </c>
      <c r="B1056" s="13" t="str">
        <f>Indicadores[[#This Row],[CIIU]]&amp;Indicadores[[#This Row],[Año]]</f>
        <v>G45202018</v>
      </c>
      <c r="C1056" s="845" t="s">
        <v>2803</v>
      </c>
      <c r="D1056" s="845" t="s">
        <v>2804</v>
      </c>
      <c r="E1056" s="843">
        <v>2018</v>
      </c>
      <c r="F1056" s="844" t="s">
        <v>2811</v>
      </c>
      <c r="G1056" s="842" t="s">
        <v>2812</v>
      </c>
      <c r="H1056" s="843" t="s">
        <v>2813</v>
      </c>
      <c r="I1056" s="842" t="s">
        <v>2812</v>
      </c>
      <c r="J1056" s="840">
        <v>34958513</v>
      </c>
      <c r="K1056" s="840">
        <v>43001171</v>
      </c>
      <c r="L1056" s="841">
        <v>385490911</v>
      </c>
      <c r="M1056" s="840">
        <v>389032370</v>
      </c>
      <c r="N1056" s="839">
        <f>Indicadores[[#This Row],[Ventas]]/Indicadores[[#This Row],[Activos totales]]</f>
        <v>1.0091868806733033</v>
      </c>
      <c r="O1056" s="837">
        <f>IF(Indicadores[[#This Row],[Ventas]]=0,0,Indicadores[[#This Row],[EBITDA]]/Indicadores[[#This Row],[Ventas]])</f>
        <v>0.11053365816320118</v>
      </c>
      <c r="P1056" s="837">
        <f>IF(Indicadores[[#This Row],[Ventas]]=0,0,Indicadores[[#This Row],[UAI]]/Indicadores[[#This Row],[Ventas]])</f>
        <v>8.9860165106569412E-2</v>
      </c>
      <c r="Q1056" s="837">
        <f>IFERROR(Indicadores[[#This Row],[Ventas]]/Indicadores[[#This Row],[Activos totales]],0)</f>
        <v>1.0091868806733033</v>
      </c>
    </row>
    <row r="1057" spans="1:17" hidden="1" x14ac:dyDescent="0.3">
      <c r="A1057" s="13" t="str">
        <f>MID(Indicadores[[#This Row],[CIIU]],2,4)</f>
        <v>4530</v>
      </c>
      <c r="B1057" s="13" t="str">
        <f>Indicadores[[#This Row],[CIIU]]&amp;Indicadores[[#This Row],[Año]]</f>
        <v>G45302018</v>
      </c>
      <c r="C1057" s="845" t="s">
        <v>2803</v>
      </c>
      <c r="D1057" s="845" t="s">
        <v>2804</v>
      </c>
      <c r="E1057" s="843">
        <v>2018</v>
      </c>
      <c r="F1057" s="844" t="s">
        <v>2814</v>
      </c>
      <c r="G1057" s="842" t="s">
        <v>2815</v>
      </c>
      <c r="H1057" s="843" t="s">
        <v>2816</v>
      </c>
      <c r="I1057" s="842" t="s">
        <v>2815</v>
      </c>
      <c r="J1057" s="840">
        <v>239418617</v>
      </c>
      <c r="K1057" s="840">
        <v>277754662</v>
      </c>
      <c r="L1057" s="841">
        <v>5622838318</v>
      </c>
      <c r="M1057" s="840">
        <v>5993242513</v>
      </c>
      <c r="N1057" s="839">
        <f>Indicadores[[#This Row],[Ventas]]/Indicadores[[#This Row],[Activos totales]]</f>
        <v>1.0658749503456735</v>
      </c>
      <c r="O1057" s="837">
        <f>IF(Indicadores[[#This Row],[Ventas]]=0,0,Indicadores[[#This Row],[EBITDA]]/Indicadores[[#This Row],[Ventas]])</f>
        <v>4.6344639216170491E-2</v>
      </c>
      <c r="P1057" s="837">
        <f>IF(Indicadores[[#This Row],[Ventas]]=0,0,Indicadores[[#This Row],[UAI]]/Indicadores[[#This Row],[Ventas]])</f>
        <v>3.9948094287970956E-2</v>
      </c>
      <c r="Q1057" s="837">
        <f>IFERROR(Indicadores[[#This Row],[Ventas]]/Indicadores[[#This Row],[Activos totales]],0)</f>
        <v>1.0658749503456735</v>
      </c>
    </row>
    <row r="1058" spans="1:17" hidden="1" x14ac:dyDescent="0.3">
      <c r="A1058" s="13" t="str">
        <f>MID(Indicadores[[#This Row],[CIIU]],2,4)</f>
        <v>4541</v>
      </c>
      <c r="B1058" s="13" t="str">
        <f>Indicadores[[#This Row],[CIIU]]&amp;Indicadores[[#This Row],[Año]]</f>
        <v>G45412018</v>
      </c>
      <c r="C1058" s="845" t="s">
        <v>2803</v>
      </c>
      <c r="D1058" s="845" t="s">
        <v>2804</v>
      </c>
      <c r="E1058" s="843">
        <v>2018</v>
      </c>
      <c r="F1058" s="844" t="s">
        <v>2817</v>
      </c>
      <c r="G1058" s="842" t="s">
        <v>2818</v>
      </c>
      <c r="H1058" s="843" t="s">
        <v>2819</v>
      </c>
      <c r="I1058" s="842" t="s">
        <v>2818</v>
      </c>
      <c r="J1058" s="840">
        <v>15976977</v>
      </c>
      <c r="K1058" s="840">
        <v>26917990</v>
      </c>
      <c r="L1058" s="841">
        <v>782337877</v>
      </c>
      <c r="M1058" s="840">
        <v>1518284178</v>
      </c>
      <c r="N1058" s="839">
        <f>Indicadores[[#This Row],[Ventas]]/Indicadores[[#This Row],[Activos totales]]</f>
        <v>1.940701355048926</v>
      </c>
      <c r="O1058" s="837">
        <f>IF(Indicadores[[#This Row],[Ventas]]=0,0,Indicadores[[#This Row],[EBITDA]]/Indicadores[[#This Row],[Ventas]])</f>
        <v>1.7729217224313327E-2</v>
      </c>
      <c r="P1058" s="837">
        <f>IF(Indicadores[[#This Row],[Ventas]]=0,0,Indicadores[[#This Row],[UAI]]/Indicadores[[#This Row],[Ventas]])</f>
        <v>1.0523047813780221E-2</v>
      </c>
      <c r="Q1058" s="837">
        <f>IFERROR(Indicadores[[#This Row],[Ventas]]/Indicadores[[#This Row],[Activos totales]],0)</f>
        <v>1.940701355048926</v>
      </c>
    </row>
    <row r="1059" spans="1:17" hidden="1" x14ac:dyDescent="0.3">
      <c r="A1059" s="13" t="str">
        <f>MID(Indicadores[[#This Row],[CIIU]],2,4)</f>
        <v>4610</v>
      </c>
      <c r="B1059" s="13" t="str">
        <f>Indicadores[[#This Row],[CIIU]]&amp;Indicadores[[#This Row],[Año]]</f>
        <v>G46102018</v>
      </c>
      <c r="C1059" s="845" t="s">
        <v>2803</v>
      </c>
      <c r="D1059" s="845" t="s">
        <v>2823</v>
      </c>
      <c r="E1059" s="843">
        <v>2018</v>
      </c>
      <c r="F1059" s="844" t="s">
        <v>2824</v>
      </c>
      <c r="G1059" s="842" t="s">
        <v>2825</v>
      </c>
      <c r="H1059" s="843" t="s">
        <v>2826</v>
      </c>
      <c r="I1059" s="842" t="s">
        <v>2825</v>
      </c>
      <c r="J1059" s="840">
        <v>48251052</v>
      </c>
      <c r="K1059" s="840">
        <v>61059362</v>
      </c>
      <c r="L1059" s="841">
        <v>1030658451</v>
      </c>
      <c r="M1059" s="840">
        <v>2035289198</v>
      </c>
      <c r="N1059" s="839">
        <f>Indicadores[[#This Row],[Ventas]]/Indicadores[[#This Row],[Activos totales]]</f>
        <v>1.9747465283239598</v>
      </c>
      <c r="O1059" s="837">
        <f>IF(Indicadores[[#This Row],[Ventas]]=0,0,Indicadores[[#This Row],[EBITDA]]/Indicadores[[#This Row],[Ventas]])</f>
        <v>3.0000337082317675E-2</v>
      </c>
      <c r="P1059" s="837">
        <f>IF(Indicadores[[#This Row],[Ventas]]=0,0,Indicadores[[#This Row],[UAI]]/Indicadores[[#This Row],[Ventas]])</f>
        <v>2.3707221581785252E-2</v>
      </c>
      <c r="Q1059" s="837">
        <f>IFERROR(Indicadores[[#This Row],[Ventas]]/Indicadores[[#This Row],[Activos totales]],0)</f>
        <v>1.9747465283239598</v>
      </c>
    </row>
    <row r="1060" spans="1:17" hidden="1" x14ac:dyDescent="0.3">
      <c r="A1060" s="13" t="str">
        <f>MID(Indicadores[[#This Row],[CIIU]],2,4)</f>
        <v>4620</v>
      </c>
      <c r="B1060" s="13" t="str">
        <f>Indicadores[[#This Row],[CIIU]]&amp;Indicadores[[#This Row],[Año]]</f>
        <v>G46202018</v>
      </c>
      <c r="C1060" s="845" t="s">
        <v>2803</v>
      </c>
      <c r="D1060" s="845" t="s">
        <v>2823</v>
      </c>
      <c r="E1060" s="843">
        <v>2018</v>
      </c>
      <c r="F1060" s="844" t="s">
        <v>2827</v>
      </c>
      <c r="G1060" s="842" t="s">
        <v>2828</v>
      </c>
      <c r="H1060" s="843" t="s">
        <v>2829</v>
      </c>
      <c r="I1060" s="842" t="s">
        <v>2828</v>
      </c>
      <c r="J1060" s="840">
        <v>91426932</v>
      </c>
      <c r="K1060" s="840">
        <v>141883241</v>
      </c>
      <c r="L1060" s="841">
        <v>4429511689</v>
      </c>
      <c r="M1060" s="840">
        <v>8210367386</v>
      </c>
      <c r="N1060" s="839">
        <f>Indicadores[[#This Row],[Ventas]]/Indicadores[[#This Row],[Activos totales]]</f>
        <v>1.8535603837301444</v>
      </c>
      <c r="O1060" s="837">
        <f>IF(Indicadores[[#This Row],[Ventas]]=0,0,Indicadores[[#This Row],[EBITDA]]/Indicadores[[#This Row],[Ventas]])</f>
        <v>1.7280985652595011E-2</v>
      </c>
      <c r="P1060" s="837">
        <f>IF(Indicadores[[#This Row],[Ventas]]=0,0,Indicadores[[#This Row],[UAI]]/Indicadores[[#This Row],[Ventas]])</f>
        <v>1.1135547010466018E-2</v>
      </c>
      <c r="Q1060" s="837">
        <f>IFERROR(Indicadores[[#This Row],[Ventas]]/Indicadores[[#This Row],[Activos totales]],0)</f>
        <v>1.8535603837301444</v>
      </c>
    </row>
    <row r="1061" spans="1:17" hidden="1" x14ac:dyDescent="0.3">
      <c r="A1061" s="13" t="str">
        <f>MID(Indicadores[[#This Row],[CIIU]],2,4)</f>
        <v>4631</v>
      </c>
      <c r="B1061" s="13" t="str">
        <f>Indicadores[[#This Row],[CIIU]]&amp;Indicadores[[#This Row],[Año]]</f>
        <v>G46312018</v>
      </c>
      <c r="C1061" s="845" t="s">
        <v>2803</v>
      </c>
      <c r="D1061" s="845" t="s">
        <v>2823</v>
      </c>
      <c r="E1061" s="843">
        <v>2018</v>
      </c>
      <c r="F1061" s="844" t="s">
        <v>2830</v>
      </c>
      <c r="G1061" s="842" t="s">
        <v>2831</v>
      </c>
      <c r="H1061" s="843" t="s">
        <v>2832</v>
      </c>
      <c r="I1061" s="842" t="s">
        <v>2831</v>
      </c>
      <c r="J1061" s="840">
        <v>243770749</v>
      </c>
      <c r="K1061" s="840">
        <v>301650190</v>
      </c>
      <c r="L1061" s="841">
        <v>4984187661</v>
      </c>
      <c r="M1061" s="840">
        <v>9190858115</v>
      </c>
      <c r="N1061" s="839">
        <f>Indicadores[[#This Row],[Ventas]]/Indicadores[[#This Row],[Activos totales]]</f>
        <v>1.8440032238184219</v>
      </c>
      <c r="O1061" s="837">
        <f>IF(Indicadores[[#This Row],[Ventas]]=0,0,Indicadores[[#This Row],[EBITDA]]/Indicadores[[#This Row],[Ventas]])</f>
        <v>3.2820677484694256E-2</v>
      </c>
      <c r="P1061" s="837">
        <f>IF(Indicadores[[#This Row],[Ventas]]=0,0,Indicadores[[#This Row],[UAI]]/Indicadores[[#This Row],[Ventas]])</f>
        <v>2.6523176176787275E-2</v>
      </c>
      <c r="Q1061" s="837">
        <f>IFERROR(Indicadores[[#This Row],[Ventas]]/Indicadores[[#This Row],[Activos totales]],0)</f>
        <v>1.8440032238184219</v>
      </c>
    </row>
    <row r="1062" spans="1:17" hidden="1" x14ac:dyDescent="0.3">
      <c r="A1062" s="13" t="str">
        <f>MID(Indicadores[[#This Row],[CIIU]],2,4)</f>
        <v>4632</v>
      </c>
      <c r="B1062" s="13" t="str">
        <f>Indicadores[[#This Row],[CIIU]]&amp;Indicadores[[#This Row],[Año]]</f>
        <v>G46322018</v>
      </c>
      <c r="C1062" s="845" t="s">
        <v>2803</v>
      </c>
      <c r="D1062" s="845" t="s">
        <v>2823</v>
      </c>
      <c r="E1062" s="843">
        <v>2018</v>
      </c>
      <c r="F1062" s="844" t="s">
        <v>2833</v>
      </c>
      <c r="G1062" s="842" t="s">
        <v>2834</v>
      </c>
      <c r="H1062" s="843" t="s">
        <v>2835</v>
      </c>
      <c r="I1062" s="842" t="s">
        <v>2834</v>
      </c>
      <c r="J1062" s="840">
        <v>451603737</v>
      </c>
      <c r="K1062" s="840">
        <v>481174576</v>
      </c>
      <c r="L1062" s="841">
        <v>7087494412</v>
      </c>
      <c r="M1062" s="840">
        <v>9021429909</v>
      </c>
      <c r="N1062" s="839">
        <f>Indicadores[[#This Row],[Ventas]]/Indicadores[[#This Row],[Activos totales]]</f>
        <v>1.2728658937248132</v>
      </c>
      <c r="O1062" s="837">
        <f>IF(Indicadores[[#This Row],[Ventas]]=0,0,Indicadores[[#This Row],[EBITDA]]/Indicadores[[#This Row],[Ventas]])</f>
        <v>5.3336841371451373E-2</v>
      </c>
      <c r="P1062" s="837">
        <f>IF(Indicadores[[#This Row],[Ventas]]=0,0,Indicadores[[#This Row],[UAI]]/Indicadores[[#This Row],[Ventas]])</f>
        <v>5.0058997471062655E-2</v>
      </c>
      <c r="Q1062" s="837">
        <f>IFERROR(Indicadores[[#This Row],[Ventas]]/Indicadores[[#This Row],[Activos totales]],0)</f>
        <v>1.2728658937248132</v>
      </c>
    </row>
    <row r="1063" spans="1:17" hidden="1" x14ac:dyDescent="0.3">
      <c r="A1063" s="13" t="str">
        <f>MID(Indicadores[[#This Row],[CIIU]],2,4)</f>
        <v>4641</v>
      </c>
      <c r="B1063" s="13" t="str">
        <f>Indicadores[[#This Row],[CIIU]]&amp;Indicadores[[#This Row],[Año]]</f>
        <v>G46412018</v>
      </c>
      <c r="C1063" s="845" t="s">
        <v>2803</v>
      </c>
      <c r="D1063" s="845" t="s">
        <v>2823</v>
      </c>
      <c r="E1063" s="843">
        <v>2018</v>
      </c>
      <c r="F1063" s="844" t="s">
        <v>2836</v>
      </c>
      <c r="G1063" s="842" t="s">
        <v>2837</v>
      </c>
      <c r="H1063" s="843" t="s">
        <v>2838</v>
      </c>
      <c r="I1063" s="842" t="s">
        <v>2837</v>
      </c>
      <c r="J1063" s="840">
        <v>58266439</v>
      </c>
      <c r="K1063" s="840">
        <v>68317999</v>
      </c>
      <c r="L1063" s="841">
        <v>2369121309</v>
      </c>
      <c r="M1063" s="840">
        <v>2466146821</v>
      </c>
      <c r="N1063" s="839">
        <f>Indicadores[[#This Row],[Ventas]]/Indicadores[[#This Row],[Activos totales]]</f>
        <v>1.0409542186089888</v>
      </c>
      <c r="O1063" s="837">
        <f>IF(Indicadores[[#This Row],[Ventas]]=0,0,Indicadores[[#This Row],[EBITDA]]/Indicadores[[#This Row],[Ventas]])</f>
        <v>2.7702324297260484E-2</v>
      </c>
      <c r="P1063" s="837">
        <f>IF(Indicadores[[#This Row],[Ventas]]=0,0,Indicadores[[#This Row],[UAI]]/Indicadores[[#This Row],[Ventas]])</f>
        <v>2.3626508569499317E-2</v>
      </c>
      <c r="Q1063" s="837">
        <f>IFERROR(Indicadores[[#This Row],[Ventas]]/Indicadores[[#This Row],[Activos totales]],0)</f>
        <v>1.0409542186089888</v>
      </c>
    </row>
    <row r="1064" spans="1:17" hidden="1" x14ac:dyDescent="0.3">
      <c r="A1064" s="13" t="str">
        <f>MID(Indicadores[[#This Row],[CIIU]],2,4)</f>
        <v>4642</v>
      </c>
      <c r="B1064" s="13" t="str">
        <f>Indicadores[[#This Row],[CIIU]]&amp;Indicadores[[#This Row],[Año]]</f>
        <v>G46422018</v>
      </c>
      <c r="C1064" s="845" t="s">
        <v>2803</v>
      </c>
      <c r="D1064" s="845" t="s">
        <v>2823</v>
      </c>
      <c r="E1064" s="843">
        <v>2018</v>
      </c>
      <c r="F1064" s="844" t="s">
        <v>2839</v>
      </c>
      <c r="G1064" s="842" t="s">
        <v>2840</v>
      </c>
      <c r="H1064" s="843" t="s">
        <v>2841</v>
      </c>
      <c r="I1064" s="842" t="s">
        <v>2840</v>
      </c>
      <c r="J1064" s="840">
        <v>13845584</v>
      </c>
      <c r="K1064" s="840">
        <v>17093975</v>
      </c>
      <c r="L1064" s="841">
        <v>302898428</v>
      </c>
      <c r="M1064" s="840">
        <v>205993522</v>
      </c>
      <c r="N1064" s="839">
        <f>Indicadores[[#This Row],[Ventas]]/Indicadores[[#This Row],[Activos totales]]</f>
        <v>0.68007458262543374</v>
      </c>
      <c r="O1064" s="837">
        <f>IF(Indicadores[[#This Row],[Ventas]]=0,0,Indicadores[[#This Row],[EBITDA]]/Indicadores[[#This Row],[Ventas]])</f>
        <v>8.2983070700640774E-2</v>
      </c>
      <c r="P1064" s="837">
        <f>IF(Indicadores[[#This Row],[Ventas]]=0,0,Indicadores[[#This Row],[UAI]]/Indicadores[[#This Row],[Ventas]])</f>
        <v>6.7213686457577054E-2</v>
      </c>
      <c r="Q1064" s="837">
        <f>IFERROR(Indicadores[[#This Row],[Ventas]]/Indicadores[[#This Row],[Activos totales]],0)</f>
        <v>0.68007458262543374</v>
      </c>
    </row>
    <row r="1065" spans="1:17" hidden="1" x14ac:dyDescent="0.3">
      <c r="A1065" s="13" t="str">
        <f>MID(Indicadores[[#This Row],[CIIU]],2,4)</f>
        <v>4643</v>
      </c>
      <c r="B1065" s="13" t="str">
        <f>Indicadores[[#This Row],[CIIU]]&amp;Indicadores[[#This Row],[Año]]</f>
        <v>G46432018</v>
      </c>
      <c r="C1065" s="845" t="s">
        <v>2803</v>
      </c>
      <c r="D1065" s="845" t="s">
        <v>2823</v>
      </c>
      <c r="E1065" s="843">
        <v>2018</v>
      </c>
      <c r="F1065" s="844" t="s">
        <v>2842</v>
      </c>
      <c r="G1065" s="842" t="s">
        <v>2843</v>
      </c>
      <c r="H1065" s="843" t="s">
        <v>2844</v>
      </c>
      <c r="I1065" s="842" t="s">
        <v>2843</v>
      </c>
      <c r="J1065" s="840">
        <v>40176594</v>
      </c>
      <c r="K1065" s="840">
        <v>63702549</v>
      </c>
      <c r="L1065" s="841">
        <v>745386139</v>
      </c>
      <c r="M1065" s="840">
        <v>1135805780</v>
      </c>
      <c r="N1065" s="839">
        <f>Indicadores[[#This Row],[Ventas]]/Indicadores[[#This Row],[Activos totales]]</f>
        <v>1.5237817294587497</v>
      </c>
      <c r="O1065" s="837">
        <f>IF(Indicadores[[#This Row],[Ventas]]=0,0,Indicadores[[#This Row],[EBITDA]]/Indicadores[[#This Row],[Ventas]])</f>
        <v>5.6085776390396608E-2</v>
      </c>
      <c r="P1065" s="837">
        <f>IF(Indicadores[[#This Row],[Ventas]]=0,0,Indicadores[[#This Row],[UAI]]/Indicadores[[#This Row],[Ventas]])</f>
        <v>3.5372767692730005E-2</v>
      </c>
      <c r="Q1065" s="837">
        <f>IFERROR(Indicadores[[#This Row],[Ventas]]/Indicadores[[#This Row],[Activos totales]],0)</f>
        <v>1.5237817294587497</v>
      </c>
    </row>
    <row r="1066" spans="1:17" hidden="1" x14ac:dyDescent="0.3">
      <c r="A1066" s="13" t="str">
        <f>MID(Indicadores[[#This Row],[CIIU]],2,4)</f>
        <v>4644</v>
      </c>
      <c r="B1066" s="13" t="str">
        <f>Indicadores[[#This Row],[CIIU]]&amp;Indicadores[[#This Row],[Año]]</f>
        <v>G46442018</v>
      </c>
      <c r="C1066" s="845" t="s">
        <v>2803</v>
      </c>
      <c r="D1066" s="845" t="s">
        <v>2823</v>
      </c>
      <c r="E1066" s="843">
        <v>2018</v>
      </c>
      <c r="F1066" s="844" t="s">
        <v>2845</v>
      </c>
      <c r="G1066" s="842" t="s">
        <v>2846</v>
      </c>
      <c r="H1066" s="843" t="s">
        <v>2847</v>
      </c>
      <c r="I1066" s="842" t="s">
        <v>2846</v>
      </c>
      <c r="J1066" s="840">
        <v>24252743</v>
      </c>
      <c r="K1066" s="840">
        <v>34489764</v>
      </c>
      <c r="L1066" s="841">
        <v>1472807725</v>
      </c>
      <c r="M1066" s="840">
        <v>2398893328</v>
      </c>
      <c r="N1066" s="839">
        <f>Indicadores[[#This Row],[Ventas]]/Indicadores[[#This Row],[Activos totales]]</f>
        <v>1.6287892080413959</v>
      </c>
      <c r="O1066" s="837">
        <f>IF(Indicadores[[#This Row],[Ventas]]=0,0,Indicadores[[#This Row],[EBITDA]]/Indicadores[[#This Row],[Ventas]])</f>
        <v>1.4377364594512724E-2</v>
      </c>
      <c r="P1066" s="837">
        <f>IF(Indicadores[[#This Row],[Ventas]]=0,0,Indicadores[[#This Row],[UAI]]/Indicadores[[#This Row],[Ventas]])</f>
        <v>1.0109971425957461E-2</v>
      </c>
      <c r="Q1066" s="837">
        <f>IFERROR(Indicadores[[#This Row],[Ventas]]/Indicadores[[#This Row],[Activos totales]],0)</f>
        <v>1.6287892080413959</v>
      </c>
    </row>
    <row r="1067" spans="1:17" hidden="1" x14ac:dyDescent="0.3">
      <c r="A1067" s="13" t="str">
        <f>MID(Indicadores[[#This Row],[CIIU]],2,4)</f>
        <v>4645</v>
      </c>
      <c r="B1067" s="13" t="str">
        <f>Indicadores[[#This Row],[CIIU]]&amp;Indicadores[[#This Row],[Año]]</f>
        <v>G46452018</v>
      </c>
      <c r="C1067" s="845" t="s">
        <v>2803</v>
      </c>
      <c r="D1067" s="845" t="s">
        <v>2823</v>
      </c>
      <c r="E1067" s="843">
        <v>2018</v>
      </c>
      <c r="F1067" s="844" t="s">
        <v>2848</v>
      </c>
      <c r="G1067" s="842" t="s">
        <v>2849</v>
      </c>
      <c r="H1067" s="843" t="s">
        <v>2850</v>
      </c>
      <c r="I1067" s="842" t="s">
        <v>2849</v>
      </c>
      <c r="J1067" s="840">
        <v>1641360820</v>
      </c>
      <c r="K1067" s="840">
        <v>1860381810</v>
      </c>
      <c r="L1067" s="841">
        <v>16985498293</v>
      </c>
      <c r="M1067" s="840">
        <v>21222745071</v>
      </c>
      <c r="N1067" s="839">
        <f>Indicadores[[#This Row],[Ventas]]/Indicadores[[#This Row],[Activos totales]]</f>
        <v>1.2494626124537211</v>
      </c>
      <c r="O1067" s="837">
        <f>IF(Indicadores[[#This Row],[Ventas]]=0,0,Indicadores[[#This Row],[EBITDA]]/Indicadores[[#This Row],[Ventas]])</f>
        <v>8.7659810442812819E-2</v>
      </c>
      <c r="P1067" s="837">
        <f>IF(Indicadores[[#This Row],[Ventas]]=0,0,Indicadores[[#This Row],[UAI]]/Indicadores[[#This Row],[Ventas]])</f>
        <v>7.7339703912424201E-2</v>
      </c>
      <c r="Q1067" s="837">
        <f>IFERROR(Indicadores[[#This Row],[Ventas]]/Indicadores[[#This Row],[Activos totales]],0)</f>
        <v>1.2494626124537211</v>
      </c>
    </row>
    <row r="1068" spans="1:17" hidden="1" x14ac:dyDescent="0.3">
      <c r="A1068" s="13" t="str">
        <f>MID(Indicadores[[#This Row],[CIIU]],2,4)</f>
        <v>4649</v>
      </c>
      <c r="B1068" s="13" t="str">
        <f>Indicadores[[#This Row],[CIIU]]&amp;Indicadores[[#This Row],[Año]]</f>
        <v>G46492018</v>
      </c>
      <c r="C1068" s="845" t="s">
        <v>2803</v>
      </c>
      <c r="D1068" s="845" t="s">
        <v>2823</v>
      </c>
      <c r="E1068" s="843">
        <v>2018</v>
      </c>
      <c r="F1068" s="844" t="s">
        <v>2851</v>
      </c>
      <c r="G1068" s="842" t="s">
        <v>2852</v>
      </c>
      <c r="H1068" s="843" t="s">
        <v>2853</v>
      </c>
      <c r="I1068" s="842" t="s">
        <v>2852</v>
      </c>
      <c r="J1068" s="840">
        <v>48578417</v>
      </c>
      <c r="K1068" s="840">
        <v>60592225</v>
      </c>
      <c r="L1068" s="841">
        <v>1155343130</v>
      </c>
      <c r="M1068" s="840">
        <v>1265075531</v>
      </c>
      <c r="N1068" s="839">
        <f>Indicadores[[#This Row],[Ventas]]/Indicadores[[#This Row],[Activos totales]]</f>
        <v>1.094978191457286</v>
      </c>
      <c r="O1068" s="837">
        <f>IF(Indicadores[[#This Row],[Ventas]]=0,0,Indicadores[[#This Row],[EBITDA]]/Indicadores[[#This Row],[Ventas]])</f>
        <v>4.7896132298206627E-2</v>
      </c>
      <c r="P1068" s="837">
        <f>IF(Indicadores[[#This Row],[Ventas]]=0,0,Indicadores[[#This Row],[UAI]]/Indicadores[[#This Row],[Ventas]])</f>
        <v>3.8399617896016362E-2</v>
      </c>
      <c r="Q1068" s="837">
        <f>IFERROR(Indicadores[[#This Row],[Ventas]]/Indicadores[[#This Row],[Activos totales]],0)</f>
        <v>1.094978191457286</v>
      </c>
    </row>
    <row r="1069" spans="1:17" hidden="1" x14ac:dyDescent="0.3">
      <c r="A1069" s="13" t="str">
        <f>MID(Indicadores[[#This Row],[CIIU]],2,4)</f>
        <v>4651</v>
      </c>
      <c r="B1069" s="13" t="str">
        <f>Indicadores[[#This Row],[CIIU]]&amp;Indicadores[[#This Row],[Año]]</f>
        <v>G46512018</v>
      </c>
      <c r="C1069" s="845" t="s">
        <v>2803</v>
      </c>
      <c r="D1069" s="845" t="s">
        <v>2823</v>
      </c>
      <c r="E1069" s="843">
        <v>2018</v>
      </c>
      <c r="F1069" s="844" t="s">
        <v>2854</v>
      </c>
      <c r="G1069" s="842" t="s">
        <v>2855</v>
      </c>
      <c r="H1069" s="843" t="s">
        <v>2856</v>
      </c>
      <c r="I1069" s="842" t="s">
        <v>2855</v>
      </c>
      <c r="J1069" s="840">
        <v>119140021</v>
      </c>
      <c r="K1069" s="840">
        <v>180985974</v>
      </c>
      <c r="L1069" s="841">
        <v>3884572929</v>
      </c>
      <c r="M1069" s="840">
        <v>5965918424</v>
      </c>
      <c r="N1069" s="839">
        <f>Indicadores[[#This Row],[Ventas]]/Indicadores[[#This Row],[Activos totales]]</f>
        <v>1.5357977654279225</v>
      </c>
      <c r="O1069" s="837">
        <f>IF(Indicadores[[#This Row],[Ventas]]=0,0,Indicadores[[#This Row],[EBITDA]]/Indicadores[[#This Row],[Ventas]])</f>
        <v>3.0336649135516237E-2</v>
      </c>
      <c r="P1069" s="837">
        <f>IF(Indicadores[[#This Row],[Ventas]]=0,0,Indicadores[[#This Row],[UAI]]/Indicadores[[#This Row],[Ventas]])</f>
        <v>1.9970105612024038E-2</v>
      </c>
      <c r="Q1069" s="837">
        <f>IFERROR(Indicadores[[#This Row],[Ventas]]/Indicadores[[#This Row],[Activos totales]],0)</f>
        <v>1.5357977654279225</v>
      </c>
    </row>
    <row r="1070" spans="1:17" hidden="1" x14ac:dyDescent="0.3">
      <c r="A1070" s="13" t="str">
        <f>MID(Indicadores[[#This Row],[CIIU]],2,4)</f>
        <v>4652</v>
      </c>
      <c r="B1070" s="13" t="str">
        <f>Indicadores[[#This Row],[CIIU]]&amp;Indicadores[[#This Row],[Año]]</f>
        <v>G46522018</v>
      </c>
      <c r="C1070" s="845" t="s">
        <v>2803</v>
      </c>
      <c r="D1070" s="845" t="s">
        <v>2823</v>
      </c>
      <c r="E1070" s="843">
        <v>2018</v>
      </c>
      <c r="F1070" s="844" t="s">
        <v>2857</v>
      </c>
      <c r="G1070" s="842" t="s">
        <v>2858</v>
      </c>
      <c r="H1070" s="843" t="s">
        <v>2859</v>
      </c>
      <c r="I1070" s="842" t="s">
        <v>2858</v>
      </c>
      <c r="J1070" s="840">
        <v>123477761</v>
      </c>
      <c r="K1070" s="840">
        <v>158241122</v>
      </c>
      <c r="L1070" s="841">
        <v>3565265572</v>
      </c>
      <c r="M1070" s="840">
        <v>5297083971</v>
      </c>
      <c r="N1070" s="839">
        <f>Indicadores[[#This Row],[Ventas]]/Indicadores[[#This Row],[Activos totales]]</f>
        <v>1.4857473767454874</v>
      </c>
      <c r="O1070" s="837">
        <f>IF(Indicadores[[#This Row],[Ventas]]=0,0,Indicadores[[#This Row],[EBITDA]]/Indicadores[[#This Row],[Ventas]])</f>
        <v>2.9873251559976072E-2</v>
      </c>
      <c r="P1070" s="837">
        <f>IF(Indicadores[[#This Row],[Ventas]]=0,0,Indicadores[[#This Row],[UAI]]/Indicadores[[#This Row],[Ventas]])</f>
        <v>2.3310516064311036E-2</v>
      </c>
      <c r="Q1070" s="837">
        <f>IFERROR(Indicadores[[#This Row],[Ventas]]/Indicadores[[#This Row],[Activos totales]],0)</f>
        <v>1.4857473767454874</v>
      </c>
    </row>
    <row r="1071" spans="1:17" hidden="1" x14ac:dyDescent="0.3">
      <c r="A1071" s="13" t="str">
        <f>MID(Indicadores[[#This Row],[CIIU]],2,4)</f>
        <v>4653</v>
      </c>
      <c r="B1071" s="13" t="str">
        <f>Indicadores[[#This Row],[CIIU]]&amp;Indicadores[[#This Row],[Año]]</f>
        <v>G46532018</v>
      </c>
      <c r="C1071" s="845" t="s">
        <v>2803</v>
      </c>
      <c r="D1071" s="845" t="s">
        <v>2823</v>
      </c>
      <c r="E1071" s="843">
        <v>2018</v>
      </c>
      <c r="F1071" s="844" t="s">
        <v>2860</v>
      </c>
      <c r="G1071" s="842" t="s">
        <v>2861</v>
      </c>
      <c r="H1071" s="843" t="s">
        <v>2862</v>
      </c>
      <c r="I1071" s="842" t="s">
        <v>2861</v>
      </c>
      <c r="J1071" s="840">
        <v>28170582</v>
      </c>
      <c r="K1071" s="840">
        <v>36816168</v>
      </c>
      <c r="L1071" s="841">
        <v>858579736</v>
      </c>
      <c r="M1071" s="840">
        <v>857316101</v>
      </c>
      <c r="N1071" s="839">
        <f>Indicadores[[#This Row],[Ventas]]/Indicadores[[#This Row],[Activos totales]]</f>
        <v>0.99852822638711802</v>
      </c>
      <c r="O1071" s="837">
        <f>IF(Indicadores[[#This Row],[Ventas]]=0,0,Indicadores[[#This Row],[EBITDA]]/Indicadores[[#This Row],[Ventas]])</f>
        <v>4.294351634951972E-2</v>
      </c>
      <c r="P1071" s="837">
        <f>IF(Indicadores[[#This Row],[Ventas]]=0,0,Indicadores[[#This Row],[UAI]]/Indicadores[[#This Row],[Ventas]])</f>
        <v>3.2859037602514359E-2</v>
      </c>
      <c r="Q1071" s="837">
        <f>IFERROR(Indicadores[[#This Row],[Ventas]]/Indicadores[[#This Row],[Activos totales]],0)</f>
        <v>0.99852822638711802</v>
      </c>
    </row>
    <row r="1072" spans="1:17" hidden="1" x14ac:dyDescent="0.3">
      <c r="A1072" s="13" t="str">
        <f>MID(Indicadores[[#This Row],[CIIU]],2,4)</f>
        <v>4659</v>
      </c>
      <c r="B1072" s="13" t="str">
        <f>Indicadores[[#This Row],[CIIU]]&amp;Indicadores[[#This Row],[Año]]</f>
        <v>G46592018</v>
      </c>
      <c r="C1072" s="845" t="s">
        <v>2803</v>
      </c>
      <c r="D1072" s="845" t="s">
        <v>2823</v>
      </c>
      <c r="E1072" s="843">
        <v>2018</v>
      </c>
      <c r="F1072" s="844" t="s">
        <v>2863</v>
      </c>
      <c r="G1072" s="842" t="s">
        <v>2864</v>
      </c>
      <c r="H1072" s="843" t="s">
        <v>2865</v>
      </c>
      <c r="I1072" s="842" t="s">
        <v>2864</v>
      </c>
      <c r="J1072" s="840">
        <v>487051828</v>
      </c>
      <c r="K1072" s="840">
        <v>650439051</v>
      </c>
      <c r="L1072" s="841">
        <v>9087341363</v>
      </c>
      <c r="M1072" s="840">
        <v>8830729035</v>
      </c>
      <c r="N1072" s="839">
        <f>Indicadores[[#This Row],[Ventas]]/Indicadores[[#This Row],[Activos totales]]</f>
        <v>0.97176156174292927</v>
      </c>
      <c r="O1072" s="837">
        <f>IF(Indicadores[[#This Row],[Ventas]]=0,0,Indicadores[[#This Row],[EBITDA]]/Indicadores[[#This Row],[Ventas]])</f>
        <v>7.3656325363628372E-2</v>
      </c>
      <c r="P1072" s="837">
        <f>IF(Indicadores[[#This Row],[Ventas]]=0,0,Indicadores[[#This Row],[UAI]]/Indicadores[[#This Row],[Ventas]])</f>
        <v>5.5154203698200101E-2</v>
      </c>
      <c r="Q1072" s="837">
        <f>IFERROR(Indicadores[[#This Row],[Ventas]]/Indicadores[[#This Row],[Activos totales]],0)</f>
        <v>0.97176156174292927</v>
      </c>
    </row>
    <row r="1073" spans="1:17" hidden="1" x14ac:dyDescent="0.3">
      <c r="A1073" s="13" t="str">
        <f>MID(Indicadores[[#This Row],[CIIU]],2,4)</f>
        <v>4661</v>
      </c>
      <c r="B1073" s="13" t="str">
        <f>Indicadores[[#This Row],[CIIU]]&amp;Indicadores[[#This Row],[Año]]</f>
        <v>G46612018</v>
      </c>
      <c r="C1073" s="845" t="s">
        <v>2803</v>
      </c>
      <c r="D1073" s="845" t="s">
        <v>2823</v>
      </c>
      <c r="E1073" s="843">
        <v>2018</v>
      </c>
      <c r="F1073" s="844" t="s">
        <v>2866</v>
      </c>
      <c r="G1073" s="842" t="s">
        <v>2867</v>
      </c>
      <c r="H1073" s="843" t="s">
        <v>2868</v>
      </c>
      <c r="I1073" s="842" t="s">
        <v>2867</v>
      </c>
      <c r="J1073" s="840">
        <v>136601972</v>
      </c>
      <c r="K1073" s="840">
        <v>303017327</v>
      </c>
      <c r="L1073" s="841">
        <v>6779833849</v>
      </c>
      <c r="M1073" s="840">
        <v>21598157632</v>
      </c>
      <c r="N1073" s="839">
        <f>Indicadores[[#This Row],[Ventas]]/Indicadores[[#This Row],[Activos totales]]</f>
        <v>3.1856470398881012</v>
      </c>
      <c r="O1073" s="837">
        <f>IF(Indicadores[[#This Row],[Ventas]]=0,0,Indicadores[[#This Row],[EBITDA]]/Indicadores[[#This Row],[Ventas]])</f>
        <v>1.4029776620902476E-2</v>
      </c>
      <c r="P1073" s="837">
        <f>IF(Indicadores[[#This Row],[Ventas]]=0,0,Indicadores[[#This Row],[UAI]]/Indicadores[[#This Row],[Ventas]])</f>
        <v>6.3247048348980209E-3</v>
      </c>
      <c r="Q1073" s="837">
        <f>IFERROR(Indicadores[[#This Row],[Ventas]]/Indicadores[[#This Row],[Activos totales]],0)</f>
        <v>3.1856470398881012</v>
      </c>
    </row>
    <row r="1074" spans="1:17" hidden="1" x14ac:dyDescent="0.3">
      <c r="A1074" s="13" t="str">
        <f>MID(Indicadores[[#This Row],[CIIU]],2,4)</f>
        <v>4662</v>
      </c>
      <c r="B1074" s="13" t="str">
        <f>Indicadores[[#This Row],[CIIU]]&amp;Indicadores[[#This Row],[Año]]</f>
        <v>G46622018</v>
      </c>
      <c r="C1074" s="845" t="s">
        <v>2803</v>
      </c>
      <c r="D1074" s="845" t="s">
        <v>2823</v>
      </c>
      <c r="E1074" s="843">
        <v>2018</v>
      </c>
      <c r="F1074" s="844" t="s">
        <v>2869</v>
      </c>
      <c r="G1074" s="842" t="s">
        <v>2870</v>
      </c>
      <c r="H1074" s="843" t="s">
        <v>2871</v>
      </c>
      <c r="I1074" s="842" t="s">
        <v>2870</v>
      </c>
      <c r="J1074" s="840">
        <v>1599776926</v>
      </c>
      <c r="K1074" s="840">
        <v>1635785932</v>
      </c>
      <c r="L1074" s="841">
        <v>20300835097</v>
      </c>
      <c r="M1074" s="840">
        <v>64621237307</v>
      </c>
      <c r="N1074" s="839">
        <f>Indicadores[[#This Row],[Ventas]]/Indicadores[[#This Row],[Activos totales]]</f>
        <v>3.1831812335912004</v>
      </c>
      <c r="O1074" s="837">
        <f>IF(Indicadores[[#This Row],[Ventas]]=0,0,Indicadores[[#This Row],[EBITDA]]/Indicadores[[#This Row],[Ventas]])</f>
        <v>2.5313441836911501E-2</v>
      </c>
      <c r="P1074" s="837">
        <f>IF(Indicadores[[#This Row],[Ventas]]=0,0,Indicadores[[#This Row],[UAI]]/Indicadores[[#This Row],[Ventas]])</f>
        <v>2.475621007378493E-2</v>
      </c>
      <c r="Q1074" s="837">
        <f>IFERROR(Indicadores[[#This Row],[Ventas]]/Indicadores[[#This Row],[Activos totales]],0)</f>
        <v>3.1831812335912004</v>
      </c>
    </row>
    <row r="1075" spans="1:17" hidden="1" x14ac:dyDescent="0.3">
      <c r="A1075" s="13" t="str">
        <f>MID(Indicadores[[#This Row],[CIIU]],2,4)</f>
        <v>4663</v>
      </c>
      <c r="B1075" s="13" t="str">
        <f>Indicadores[[#This Row],[CIIU]]&amp;Indicadores[[#This Row],[Año]]</f>
        <v>G46632018</v>
      </c>
      <c r="C1075" s="845" t="s">
        <v>2803</v>
      </c>
      <c r="D1075" s="845" t="s">
        <v>2823</v>
      </c>
      <c r="E1075" s="843">
        <v>2018</v>
      </c>
      <c r="F1075" s="844" t="s">
        <v>2872</v>
      </c>
      <c r="G1075" s="842" t="s">
        <v>2873</v>
      </c>
      <c r="H1075" s="843" t="s">
        <v>2874</v>
      </c>
      <c r="I1075" s="842" t="s">
        <v>2873</v>
      </c>
      <c r="J1075" s="840">
        <v>706134839</v>
      </c>
      <c r="K1075" s="840">
        <v>965373041</v>
      </c>
      <c r="L1075" s="841">
        <v>21653980350</v>
      </c>
      <c r="M1075" s="840">
        <v>22459319082</v>
      </c>
      <c r="N1075" s="839">
        <f>Indicadores[[#This Row],[Ventas]]/Indicadores[[#This Row],[Activos totales]]</f>
        <v>1.0371912562486463</v>
      </c>
      <c r="O1075" s="837">
        <f>IF(Indicadores[[#This Row],[Ventas]]=0,0,Indicadores[[#This Row],[EBITDA]]/Indicadores[[#This Row],[Ventas]])</f>
        <v>4.2983183838983675E-2</v>
      </c>
      <c r="P1075" s="837">
        <f>IF(Indicadores[[#This Row],[Ventas]]=0,0,Indicadores[[#This Row],[UAI]]/Indicadores[[#This Row],[Ventas]])</f>
        <v>3.1440616539703162E-2</v>
      </c>
      <c r="Q1075" s="837">
        <f>IFERROR(Indicadores[[#This Row],[Ventas]]/Indicadores[[#This Row],[Activos totales]],0)</f>
        <v>1.0371912562486463</v>
      </c>
    </row>
    <row r="1076" spans="1:17" hidden="1" x14ac:dyDescent="0.3">
      <c r="A1076" s="13" t="str">
        <f>MID(Indicadores[[#This Row],[CIIU]],2,4)</f>
        <v>4664</v>
      </c>
      <c r="B1076" s="13" t="str">
        <f>Indicadores[[#This Row],[CIIU]]&amp;Indicadores[[#This Row],[Año]]</f>
        <v>G46642018</v>
      </c>
      <c r="C1076" s="845" t="s">
        <v>2803</v>
      </c>
      <c r="D1076" s="845" t="s">
        <v>2823</v>
      </c>
      <c r="E1076" s="843">
        <v>2018</v>
      </c>
      <c r="F1076" s="844" t="s">
        <v>2875</v>
      </c>
      <c r="G1076" s="842" t="s">
        <v>2876</v>
      </c>
      <c r="H1076" s="843" t="s">
        <v>2877</v>
      </c>
      <c r="I1076" s="842" t="s">
        <v>2876</v>
      </c>
      <c r="J1076" s="840">
        <v>238881205</v>
      </c>
      <c r="K1076" s="840">
        <v>282584375</v>
      </c>
      <c r="L1076" s="841">
        <v>5814695771</v>
      </c>
      <c r="M1076" s="840">
        <v>7335047775</v>
      </c>
      <c r="N1076" s="839">
        <f>Indicadores[[#This Row],[Ventas]]/Indicadores[[#This Row],[Activos totales]]</f>
        <v>1.2614671624924123</v>
      </c>
      <c r="O1076" s="837">
        <f>IF(Indicadores[[#This Row],[Ventas]]=0,0,Indicadores[[#This Row],[EBITDA]]/Indicadores[[#This Row],[Ventas]])</f>
        <v>3.852522623821629E-2</v>
      </c>
      <c r="P1076" s="837">
        <f>IF(Indicadores[[#This Row],[Ventas]]=0,0,Indicadores[[#This Row],[UAI]]/Indicadores[[#This Row],[Ventas]])</f>
        <v>3.2567095992772861E-2</v>
      </c>
      <c r="Q1076" s="837">
        <f>IFERROR(Indicadores[[#This Row],[Ventas]]/Indicadores[[#This Row],[Activos totales]],0)</f>
        <v>1.2614671624924123</v>
      </c>
    </row>
    <row r="1077" spans="1:17" hidden="1" x14ac:dyDescent="0.3">
      <c r="A1077" s="13" t="str">
        <f>MID(Indicadores[[#This Row],[CIIU]],2,4)</f>
        <v>4665</v>
      </c>
      <c r="B1077" s="13" t="str">
        <f>Indicadores[[#This Row],[CIIU]]&amp;Indicadores[[#This Row],[Año]]</f>
        <v>G46652018</v>
      </c>
      <c r="C1077" s="845" t="s">
        <v>2803</v>
      </c>
      <c r="D1077" s="845" t="s">
        <v>2823</v>
      </c>
      <c r="E1077" s="843">
        <v>2018</v>
      </c>
      <c r="F1077" s="844" t="s">
        <v>2878</v>
      </c>
      <c r="G1077" s="842" t="s">
        <v>2879</v>
      </c>
      <c r="H1077" s="843" t="s">
        <v>2880</v>
      </c>
      <c r="I1077" s="842" t="s">
        <v>2879</v>
      </c>
      <c r="J1077" s="840">
        <v>26835416</v>
      </c>
      <c r="K1077" s="840">
        <v>35150837</v>
      </c>
      <c r="L1077" s="841">
        <v>407017521</v>
      </c>
      <c r="M1077" s="840">
        <v>1055874112</v>
      </c>
      <c r="N1077" s="839">
        <f>Indicadores[[#This Row],[Ventas]]/Indicadores[[#This Row],[Activos totales]]</f>
        <v>2.5941736105262163</v>
      </c>
      <c r="O1077" s="837">
        <f>IF(Indicadores[[#This Row],[Ventas]]=0,0,Indicadores[[#This Row],[EBITDA]]/Indicadores[[#This Row],[Ventas]])</f>
        <v>3.3290746122583217E-2</v>
      </c>
      <c r="P1077" s="837">
        <f>IF(Indicadores[[#This Row],[Ventas]]=0,0,Indicadores[[#This Row],[UAI]]/Indicadores[[#This Row],[Ventas]])</f>
        <v>2.5415355576025336E-2</v>
      </c>
      <c r="Q1077" s="837">
        <f>IFERROR(Indicadores[[#This Row],[Ventas]]/Indicadores[[#This Row],[Activos totales]],0)</f>
        <v>2.5941736105262163</v>
      </c>
    </row>
    <row r="1078" spans="1:17" hidden="1" x14ac:dyDescent="0.3">
      <c r="A1078" s="13" t="str">
        <f>MID(Indicadores[[#This Row],[CIIU]],2,4)</f>
        <v>4669</v>
      </c>
      <c r="B1078" s="13" t="str">
        <f>Indicadores[[#This Row],[CIIU]]&amp;Indicadores[[#This Row],[Año]]</f>
        <v>G46692018</v>
      </c>
      <c r="C1078" s="845" t="s">
        <v>2803</v>
      </c>
      <c r="D1078" s="845" t="s">
        <v>2823</v>
      </c>
      <c r="E1078" s="843">
        <v>2018</v>
      </c>
      <c r="F1078" s="844" t="s">
        <v>2881</v>
      </c>
      <c r="G1078" s="842" t="s">
        <v>2882</v>
      </c>
      <c r="H1078" s="843" t="s">
        <v>2883</v>
      </c>
      <c r="I1078" s="842" t="s">
        <v>2882</v>
      </c>
      <c r="J1078" s="840">
        <v>1620565515</v>
      </c>
      <c r="K1078" s="840">
        <v>2080262745</v>
      </c>
      <c r="L1078" s="841">
        <v>31479084524</v>
      </c>
      <c r="M1078" s="840">
        <v>26853908971</v>
      </c>
      <c r="N1078" s="839">
        <f>Indicadores[[#This Row],[Ventas]]/Indicadores[[#This Row],[Activos totales]]</f>
        <v>0.8530714719650212</v>
      </c>
      <c r="O1078" s="837">
        <f>IF(Indicadores[[#This Row],[Ventas]]=0,0,Indicadores[[#This Row],[EBITDA]]/Indicadores[[#This Row],[Ventas]])</f>
        <v>7.7465919291173274E-2</v>
      </c>
      <c r="P1078" s="837">
        <f>IF(Indicadores[[#This Row],[Ventas]]=0,0,Indicadores[[#This Row],[UAI]]/Indicadores[[#This Row],[Ventas]])</f>
        <v>6.0347471824309704E-2</v>
      </c>
      <c r="Q1078" s="837">
        <f>IFERROR(Indicadores[[#This Row],[Ventas]]/Indicadores[[#This Row],[Activos totales]],0)</f>
        <v>0.8530714719650212</v>
      </c>
    </row>
    <row r="1079" spans="1:17" hidden="1" x14ac:dyDescent="0.3">
      <c r="A1079" s="13" t="str">
        <f>MID(Indicadores[[#This Row],[CIIU]],2,4)</f>
        <v>4690</v>
      </c>
      <c r="B1079" s="13" t="str">
        <f>Indicadores[[#This Row],[CIIU]]&amp;Indicadores[[#This Row],[Año]]</f>
        <v>G46902018</v>
      </c>
      <c r="C1079" s="845" t="s">
        <v>2803</v>
      </c>
      <c r="D1079" s="845" t="s">
        <v>2823</v>
      </c>
      <c r="E1079" s="843">
        <v>2018</v>
      </c>
      <c r="F1079" s="844" t="s">
        <v>2884</v>
      </c>
      <c r="G1079" s="842" t="s">
        <v>2885</v>
      </c>
      <c r="H1079" s="843" t="s">
        <v>2886</v>
      </c>
      <c r="I1079" s="842" t="s">
        <v>2885</v>
      </c>
      <c r="J1079" s="840">
        <v>743703533</v>
      </c>
      <c r="K1079" s="840">
        <v>1837751834</v>
      </c>
      <c r="L1079" s="841">
        <v>13730002232</v>
      </c>
      <c r="M1079" s="840">
        <v>14508625101</v>
      </c>
      <c r="N1079" s="839">
        <f>Indicadores[[#This Row],[Ventas]]/Indicadores[[#This Row],[Activos totales]]</f>
        <v>1.0567095952239027</v>
      </c>
      <c r="O1079" s="837">
        <f>IF(Indicadores[[#This Row],[Ventas]]=0,0,Indicadores[[#This Row],[EBITDA]]/Indicadores[[#This Row],[Ventas]])</f>
        <v>0.12666616038437259</v>
      </c>
      <c r="P1079" s="837">
        <f>IF(Indicadores[[#This Row],[Ventas]]=0,0,Indicadores[[#This Row],[UAI]]/Indicadores[[#This Row],[Ventas]])</f>
        <v>5.1259407960630297E-2</v>
      </c>
      <c r="Q1079" s="837">
        <f>IFERROR(Indicadores[[#This Row],[Ventas]]/Indicadores[[#This Row],[Activos totales]],0)</f>
        <v>1.0567095952239027</v>
      </c>
    </row>
    <row r="1080" spans="1:17" hidden="1" x14ac:dyDescent="0.3">
      <c r="A1080" s="13" t="str">
        <f>MID(Indicadores[[#This Row],[CIIU]],2,4)</f>
        <v>4711</v>
      </c>
      <c r="B1080" s="13" t="str">
        <f>Indicadores[[#This Row],[CIIU]]&amp;Indicadores[[#This Row],[Año]]</f>
        <v>G47112018</v>
      </c>
      <c r="C1080" s="845" t="s">
        <v>2803</v>
      </c>
      <c r="D1080" s="845" t="s">
        <v>2887</v>
      </c>
      <c r="E1080" s="843">
        <v>2018</v>
      </c>
      <c r="F1080" s="844" t="s">
        <v>2888</v>
      </c>
      <c r="G1080" s="842" t="s">
        <v>2889</v>
      </c>
      <c r="H1080" s="843" t="s">
        <v>2890</v>
      </c>
      <c r="I1080" s="842" t="s">
        <v>2889</v>
      </c>
      <c r="J1080" s="840">
        <v>-944351156</v>
      </c>
      <c r="K1080" s="840">
        <v>-362941216</v>
      </c>
      <c r="L1080" s="841">
        <v>17244756450</v>
      </c>
      <c r="M1080" s="840">
        <v>26563993976</v>
      </c>
      <c r="N1080" s="839">
        <f>Indicadores[[#This Row],[Ventas]]/Indicadores[[#This Row],[Activos totales]]</f>
        <v>1.5404099242004661</v>
      </c>
      <c r="O1080" s="837">
        <f>IF(Indicadores[[#This Row],[Ventas]]=0,0,Indicadores[[#This Row],[EBITDA]]/Indicadores[[#This Row],[Ventas]])</f>
        <v>-1.3662900854740052E-2</v>
      </c>
      <c r="P1080" s="837">
        <f>IF(Indicadores[[#This Row],[Ventas]]=0,0,Indicadores[[#This Row],[UAI]]/Indicadores[[#This Row],[Ventas]])</f>
        <v>-3.5550044050348791E-2</v>
      </c>
      <c r="Q1080" s="837">
        <f>IFERROR(Indicadores[[#This Row],[Ventas]]/Indicadores[[#This Row],[Activos totales]],0)</f>
        <v>1.5404099242004661</v>
      </c>
    </row>
    <row r="1081" spans="1:17" hidden="1" x14ac:dyDescent="0.3">
      <c r="A1081" s="13" t="str">
        <f>MID(Indicadores[[#This Row],[CIIU]],2,4)</f>
        <v>4719</v>
      </c>
      <c r="B1081" s="13" t="str">
        <f>Indicadores[[#This Row],[CIIU]]&amp;Indicadores[[#This Row],[Año]]</f>
        <v>G47192018</v>
      </c>
      <c r="C1081" s="845" t="s">
        <v>2803</v>
      </c>
      <c r="D1081" s="845" t="s">
        <v>2887</v>
      </c>
      <c r="E1081" s="843">
        <v>2018</v>
      </c>
      <c r="F1081" s="844" t="s">
        <v>2891</v>
      </c>
      <c r="G1081" s="842" t="s">
        <v>2892</v>
      </c>
      <c r="H1081" s="843" t="s">
        <v>2893</v>
      </c>
      <c r="I1081" s="842" t="s">
        <v>2892</v>
      </c>
      <c r="J1081" s="840">
        <v>358137990</v>
      </c>
      <c r="K1081" s="840">
        <v>504354452</v>
      </c>
      <c r="L1081" s="841">
        <v>5854482305</v>
      </c>
      <c r="M1081" s="840">
        <v>8966346728</v>
      </c>
      <c r="N1081" s="839">
        <f>Indicadores[[#This Row],[Ventas]]/Indicadores[[#This Row],[Activos totales]]</f>
        <v>1.5315353708290012</v>
      </c>
      <c r="O1081" s="837">
        <f>IF(Indicadores[[#This Row],[Ventas]]=0,0,Indicadores[[#This Row],[EBITDA]]/Indicadores[[#This Row],[Ventas]])</f>
        <v>5.6249715441519563E-2</v>
      </c>
      <c r="P1081" s="837">
        <f>IF(Indicadores[[#This Row],[Ventas]]=0,0,Indicadores[[#This Row],[UAI]]/Indicadores[[#This Row],[Ventas]])</f>
        <v>3.9942464959737835E-2</v>
      </c>
      <c r="Q1081" s="837">
        <f>IFERROR(Indicadores[[#This Row],[Ventas]]/Indicadores[[#This Row],[Activos totales]],0)</f>
        <v>1.5315353708290012</v>
      </c>
    </row>
    <row r="1082" spans="1:17" hidden="1" x14ac:dyDescent="0.3">
      <c r="A1082" s="13" t="str">
        <f>MID(Indicadores[[#This Row],[CIIU]],2,4)</f>
        <v>4721</v>
      </c>
      <c r="B1082" s="13" t="str">
        <f>Indicadores[[#This Row],[CIIU]]&amp;Indicadores[[#This Row],[Año]]</f>
        <v>G47212018</v>
      </c>
      <c r="C1082" s="845" t="s">
        <v>2803</v>
      </c>
      <c r="D1082" s="845" t="s">
        <v>2887</v>
      </c>
      <c r="E1082" s="843">
        <v>2018</v>
      </c>
      <c r="F1082" s="844" t="s">
        <v>2894</v>
      </c>
      <c r="G1082" s="842" t="s">
        <v>2895</v>
      </c>
      <c r="H1082" s="843" t="s">
        <v>2896</v>
      </c>
      <c r="I1082" s="842" t="s">
        <v>2895</v>
      </c>
      <c r="J1082" s="840">
        <v>6006941</v>
      </c>
      <c r="K1082" s="840">
        <v>8454228</v>
      </c>
      <c r="L1082" s="841">
        <v>290797819</v>
      </c>
      <c r="M1082" s="840">
        <v>276197489</v>
      </c>
      <c r="N1082" s="839">
        <f>Indicadores[[#This Row],[Ventas]]/Indicadores[[#This Row],[Activos totales]]</f>
        <v>0.94979216126789456</v>
      </c>
      <c r="O1082" s="837">
        <f>IF(Indicadores[[#This Row],[Ventas]]=0,0,Indicadores[[#This Row],[EBITDA]]/Indicadores[[#This Row],[Ventas]])</f>
        <v>3.0609358653510423E-2</v>
      </c>
      <c r="P1082" s="837">
        <f>IF(Indicadores[[#This Row],[Ventas]]=0,0,Indicadores[[#This Row],[UAI]]/Indicadores[[#This Row],[Ventas]])</f>
        <v>2.1748716911760193E-2</v>
      </c>
      <c r="Q1082" s="837">
        <f>IFERROR(Indicadores[[#This Row],[Ventas]]/Indicadores[[#This Row],[Activos totales]],0)</f>
        <v>0.94979216126789456</v>
      </c>
    </row>
    <row r="1083" spans="1:17" hidden="1" x14ac:dyDescent="0.3">
      <c r="A1083" s="13" t="str">
        <f>MID(Indicadores[[#This Row],[CIIU]],2,4)</f>
        <v>4722</v>
      </c>
      <c r="B1083" s="13" t="str">
        <f>Indicadores[[#This Row],[CIIU]]&amp;Indicadores[[#This Row],[Año]]</f>
        <v>G47222018</v>
      </c>
      <c r="C1083" s="845" t="s">
        <v>2803</v>
      </c>
      <c r="D1083" s="845" t="s">
        <v>2887</v>
      </c>
      <c r="E1083" s="843">
        <v>2018</v>
      </c>
      <c r="F1083" s="844" t="s">
        <v>2897</v>
      </c>
      <c r="G1083" s="842" t="s">
        <v>2898</v>
      </c>
      <c r="H1083" s="843" t="s">
        <v>2899</v>
      </c>
      <c r="I1083" s="842" t="s">
        <v>2898</v>
      </c>
      <c r="J1083" s="840">
        <v>-18064459</v>
      </c>
      <c r="K1083" s="840">
        <v>-16271890</v>
      </c>
      <c r="L1083" s="841">
        <v>266300980</v>
      </c>
      <c r="M1083" s="840">
        <v>565843496</v>
      </c>
      <c r="N1083" s="839">
        <f>Indicadores[[#This Row],[Ventas]]/Indicadores[[#This Row],[Activos totales]]</f>
        <v>2.1248269383011658</v>
      </c>
      <c r="O1083" s="837">
        <f>IF(Indicadores[[#This Row],[Ventas]]=0,0,Indicadores[[#This Row],[EBITDA]]/Indicadores[[#This Row],[Ventas]])</f>
        <v>-2.8756873791123332E-2</v>
      </c>
      <c r="P1083" s="837">
        <f>IF(Indicadores[[#This Row],[Ventas]]=0,0,Indicadores[[#This Row],[UAI]]/Indicadores[[#This Row],[Ventas]])</f>
        <v>-3.1924832798643672E-2</v>
      </c>
      <c r="Q1083" s="837">
        <f>IFERROR(Indicadores[[#This Row],[Ventas]]/Indicadores[[#This Row],[Activos totales]],0)</f>
        <v>2.1248269383011658</v>
      </c>
    </row>
    <row r="1084" spans="1:17" hidden="1" x14ac:dyDescent="0.3">
      <c r="A1084" s="13" t="str">
        <f>MID(Indicadores[[#This Row],[CIIU]],2,4)</f>
        <v>4723</v>
      </c>
      <c r="B1084" s="13" t="str">
        <f>Indicadores[[#This Row],[CIIU]]&amp;Indicadores[[#This Row],[Año]]</f>
        <v>G47232018</v>
      </c>
      <c r="C1084" s="845" t="s">
        <v>2803</v>
      </c>
      <c r="D1084" s="845" t="s">
        <v>2887</v>
      </c>
      <c r="E1084" s="843">
        <v>2018</v>
      </c>
      <c r="F1084" s="844" t="s">
        <v>2900</v>
      </c>
      <c r="G1084" s="842" t="s">
        <v>2901</v>
      </c>
      <c r="H1084" s="843" t="s">
        <v>2902</v>
      </c>
      <c r="I1084" s="842" t="s">
        <v>2901</v>
      </c>
      <c r="J1084" s="840">
        <v>29261994</v>
      </c>
      <c r="K1084" s="840">
        <v>38367886</v>
      </c>
      <c r="L1084" s="841">
        <v>357118530</v>
      </c>
      <c r="M1084" s="840">
        <v>1082887847</v>
      </c>
      <c r="N1084" s="839">
        <f>Indicadores[[#This Row],[Ventas]]/Indicadores[[#This Row],[Activos totales]]</f>
        <v>3.0322925192372403</v>
      </c>
      <c r="O1084" s="837">
        <f>IF(Indicadores[[#This Row],[Ventas]]=0,0,Indicadores[[#This Row],[EBITDA]]/Indicadores[[#This Row],[Ventas]])</f>
        <v>3.5431080057176038E-2</v>
      </c>
      <c r="P1084" s="837">
        <f>IF(Indicadores[[#This Row],[Ventas]]=0,0,Indicadores[[#This Row],[UAI]]/Indicadores[[#This Row],[Ventas]])</f>
        <v>2.7022183396984784E-2</v>
      </c>
      <c r="Q1084" s="837">
        <f>IFERROR(Indicadores[[#This Row],[Ventas]]/Indicadores[[#This Row],[Activos totales]],0)</f>
        <v>3.0322925192372403</v>
      </c>
    </row>
    <row r="1085" spans="1:17" hidden="1" x14ac:dyDescent="0.3">
      <c r="A1085" s="13" t="str">
        <f>MID(Indicadores[[#This Row],[CIIU]],2,4)</f>
        <v>4724</v>
      </c>
      <c r="B1085" s="13" t="str">
        <f>Indicadores[[#This Row],[CIIU]]&amp;Indicadores[[#This Row],[Año]]</f>
        <v>G47242018</v>
      </c>
      <c r="C1085" s="845" t="s">
        <v>2803</v>
      </c>
      <c r="D1085" s="845" t="s">
        <v>2887</v>
      </c>
      <c r="E1085" s="843">
        <v>2018</v>
      </c>
      <c r="F1085" s="844" t="s">
        <v>2903</v>
      </c>
      <c r="G1085" s="842" t="s">
        <v>2904</v>
      </c>
      <c r="H1085" s="843" t="s">
        <v>2905</v>
      </c>
      <c r="I1085" s="842" t="s">
        <v>2904</v>
      </c>
      <c r="J1085" s="840">
        <v>3493398</v>
      </c>
      <c r="K1085" s="840">
        <v>5188690</v>
      </c>
      <c r="L1085" s="841">
        <v>142188007</v>
      </c>
      <c r="M1085" s="840">
        <v>200751364</v>
      </c>
      <c r="N1085" s="839">
        <f>Indicadores[[#This Row],[Ventas]]/Indicadores[[#This Row],[Activos totales]]</f>
        <v>1.4118726905005428</v>
      </c>
      <c r="O1085" s="837">
        <f>IF(Indicadores[[#This Row],[Ventas]]=0,0,Indicadores[[#This Row],[EBITDA]]/Indicadores[[#This Row],[Ventas]])</f>
        <v>2.5846349915709662E-2</v>
      </c>
      <c r="P1085" s="837">
        <f>IF(Indicadores[[#This Row],[Ventas]]=0,0,Indicadores[[#This Row],[UAI]]/Indicadores[[#This Row],[Ventas]])</f>
        <v>1.7401615263744858E-2</v>
      </c>
      <c r="Q1085" s="837">
        <f>IFERROR(Indicadores[[#This Row],[Ventas]]/Indicadores[[#This Row],[Activos totales]],0)</f>
        <v>1.4118726905005428</v>
      </c>
    </row>
    <row r="1086" spans="1:17" hidden="1" x14ac:dyDescent="0.3">
      <c r="A1086" s="13" t="str">
        <f>MID(Indicadores[[#This Row],[CIIU]],2,4)</f>
        <v>4729</v>
      </c>
      <c r="B1086" s="13" t="str">
        <f>Indicadores[[#This Row],[CIIU]]&amp;Indicadores[[#This Row],[Año]]</f>
        <v>G47292018</v>
      </c>
      <c r="C1086" s="845" t="s">
        <v>2803</v>
      </c>
      <c r="D1086" s="845" t="s">
        <v>2887</v>
      </c>
      <c r="E1086" s="843">
        <v>2018</v>
      </c>
      <c r="F1086" s="844" t="s">
        <v>2906</v>
      </c>
      <c r="G1086" s="842" t="s">
        <v>2907</v>
      </c>
      <c r="H1086" s="843" t="s">
        <v>2908</v>
      </c>
      <c r="I1086" s="842" t="s">
        <v>2907</v>
      </c>
      <c r="J1086" s="840">
        <v>36325416</v>
      </c>
      <c r="K1086" s="840">
        <v>42759376</v>
      </c>
      <c r="L1086" s="841">
        <v>471914377</v>
      </c>
      <c r="M1086" s="840">
        <v>1033476937</v>
      </c>
      <c r="N1086" s="839">
        <f>Indicadores[[#This Row],[Ventas]]/Indicadores[[#This Row],[Activos totales]]</f>
        <v>2.1899670520103691</v>
      </c>
      <c r="O1086" s="837">
        <f>IF(Indicadores[[#This Row],[Ventas]]=0,0,Indicadores[[#This Row],[EBITDA]]/Indicadores[[#This Row],[Ventas]])</f>
        <v>4.1374291451653361E-2</v>
      </c>
      <c r="P1086" s="837">
        <f>IF(Indicadores[[#This Row],[Ventas]]=0,0,Indicadores[[#This Row],[UAI]]/Indicadores[[#This Row],[Ventas]])</f>
        <v>3.5148743720828671E-2</v>
      </c>
      <c r="Q1086" s="837">
        <f>IFERROR(Indicadores[[#This Row],[Ventas]]/Indicadores[[#This Row],[Activos totales]],0)</f>
        <v>2.1899670520103691</v>
      </c>
    </row>
    <row r="1087" spans="1:17" hidden="1" x14ac:dyDescent="0.3">
      <c r="A1087" s="13" t="str">
        <f>MID(Indicadores[[#This Row],[CIIU]],2,4)</f>
        <v>4731</v>
      </c>
      <c r="B1087" s="13" t="str">
        <f>Indicadores[[#This Row],[CIIU]]&amp;Indicadores[[#This Row],[Año]]</f>
        <v>G47312018</v>
      </c>
      <c r="C1087" s="845" t="s">
        <v>2803</v>
      </c>
      <c r="D1087" s="845" t="s">
        <v>2887</v>
      </c>
      <c r="E1087" s="843">
        <v>2018</v>
      </c>
      <c r="F1087" s="844" t="s">
        <v>2909</v>
      </c>
      <c r="G1087" s="842" t="s">
        <v>2910</v>
      </c>
      <c r="H1087" s="843" t="s">
        <v>2911</v>
      </c>
      <c r="I1087" s="842" t="s">
        <v>2910</v>
      </c>
      <c r="J1087" s="840">
        <v>434602336</v>
      </c>
      <c r="K1087" s="840">
        <v>503200972</v>
      </c>
      <c r="L1087" s="841">
        <v>4141500601</v>
      </c>
      <c r="M1087" s="840">
        <v>20832690693</v>
      </c>
      <c r="N1087" s="839">
        <f>Indicadores[[#This Row],[Ventas]]/Indicadores[[#This Row],[Activos totales]]</f>
        <v>5.0302276155579388</v>
      </c>
      <c r="O1087" s="837">
        <f>IF(Indicadores[[#This Row],[Ventas]]=0,0,Indicadores[[#This Row],[EBITDA]]/Indicadores[[#This Row],[Ventas]])</f>
        <v>2.4154391740145248E-2</v>
      </c>
      <c r="P1087" s="837">
        <f>IF(Indicadores[[#This Row],[Ventas]]=0,0,Indicadores[[#This Row],[UAI]]/Indicadores[[#This Row],[Ventas]])</f>
        <v>2.0861555638899344E-2</v>
      </c>
      <c r="Q1087" s="837">
        <f>IFERROR(Indicadores[[#This Row],[Ventas]]/Indicadores[[#This Row],[Activos totales]],0)</f>
        <v>5.0302276155579388</v>
      </c>
    </row>
    <row r="1088" spans="1:17" hidden="1" x14ac:dyDescent="0.3">
      <c r="A1088" s="13" t="str">
        <f>MID(Indicadores[[#This Row],[CIIU]],2,4)</f>
        <v>4732</v>
      </c>
      <c r="B1088" s="13" t="str">
        <f>Indicadores[[#This Row],[CIIU]]&amp;Indicadores[[#This Row],[Año]]</f>
        <v>G47322018</v>
      </c>
      <c r="C1088" s="845" t="s">
        <v>2803</v>
      </c>
      <c r="D1088" s="845" t="s">
        <v>2887</v>
      </c>
      <c r="E1088" s="843">
        <v>2018</v>
      </c>
      <c r="F1088" s="844" t="s">
        <v>2912</v>
      </c>
      <c r="G1088" s="842" t="s">
        <v>2913</v>
      </c>
      <c r="H1088" s="843" t="s">
        <v>2914</v>
      </c>
      <c r="I1088" s="842" t="s">
        <v>2913</v>
      </c>
      <c r="J1088" s="840">
        <v>21623674</v>
      </c>
      <c r="K1088" s="840">
        <v>25853552</v>
      </c>
      <c r="L1088" s="841">
        <v>413222859</v>
      </c>
      <c r="M1088" s="840">
        <v>621454156</v>
      </c>
      <c r="N1088" s="839">
        <f>Indicadores[[#This Row],[Ventas]]/Indicadores[[#This Row],[Activos totales]]</f>
        <v>1.5039200820204384</v>
      </c>
      <c r="O1088" s="837">
        <f>IF(Indicadores[[#This Row],[Ventas]]=0,0,Indicadores[[#This Row],[EBITDA]]/Indicadores[[#This Row],[Ventas]])</f>
        <v>4.1601704245421443E-2</v>
      </c>
      <c r="P1088" s="837">
        <f>IF(Indicadores[[#This Row],[Ventas]]=0,0,Indicadores[[#This Row],[UAI]]/Indicadores[[#This Row],[Ventas]])</f>
        <v>3.4795284239759756E-2</v>
      </c>
      <c r="Q1088" s="837">
        <f>IFERROR(Indicadores[[#This Row],[Ventas]]/Indicadores[[#This Row],[Activos totales]],0)</f>
        <v>1.5039200820204384</v>
      </c>
    </row>
    <row r="1089" spans="1:17" hidden="1" x14ac:dyDescent="0.3">
      <c r="A1089" s="13" t="str">
        <f>MID(Indicadores[[#This Row],[CIIU]],2,4)</f>
        <v>4741</v>
      </c>
      <c r="B1089" s="13" t="str">
        <f>Indicadores[[#This Row],[CIIU]]&amp;Indicadores[[#This Row],[Año]]</f>
        <v>G47412018</v>
      </c>
      <c r="C1089" s="845" t="s">
        <v>2803</v>
      </c>
      <c r="D1089" s="845" t="s">
        <v>2887</v>
      </c>
      <c r="E1089" s="843">
        <v>2018</v>
      </c>
      <c r="F1089" s="844" t="s">
        <v>2915</v>
      </c>
      <c r="G1089" s="842" t="s">
        <v>2916</v>
      </c>
      <c r="H1089" s="843" t="s">
        <v>2917</v>
      </c>
      <c r="I1089" s="842" t="s">
        <v>2916</v>
      </c>
      <c r="J1089" s="840">
        <v>29291999</v>
      </c>
      <c r="K1089" s="840">
        <v>64289017</v>
      </c>
      <c r="L1089" s="841">
        <v>1125292838</v>
      </c>
      <c r="M1089" s="840">
        <v>2140504288</v>
      </c>
      <c r="N1089" s="839">
        <f>Indicadores[[#This Row],[Ventas]]/Indicadores[[#This Row],[Activos totales]]</f>
        <v>1.9021753411355133</v>
      </c>
      <c r="O1089" s="837">
        <f>IF(Indicadores[[#This Row],[Ventas]]=0,0,Indicadores[[#This Row],[EBITDA]]/Indicadores[[#This Row],[Ventas]])</f>
        <v>3.0034519136641877E-2</v>
      </c>
      <c r="P1089" s="837">
        <f>IF(Indicadores[[#This Row],[Ventas]]=0,0,Indicadores[[#This Row],[UAI]]/Indicadores[[#This Row],[Ventas]])</f>
        <v>1.3684625237246896E-2</v>
      </c>
      <c r="Q1089" s="837">
        <f>IFERROR(Indicadores[[#This Row],[Ventas]]/Indicadores[[#This Row],[Activos totales]],0)</f>
        <v>1.9021753411355133</v>
      </c>
    </row>
    <row r="1090" spans="1:17" hidden="1" x14ac:dyDescent="0.3">
      <c r="A1090" s="13" t="str">
        <f>MID(Indicadores[[#This Row],[CIIU]],2,4)</f>
        <v>4742</v>
      </c>
      <c r="B1090" s="13" t="str">
        <f>Indicadores[[#This Row],[CIIU]]&amp;Indicadores[[#This Row],[Año]]</f>
        <v>G47422018</v>
      </c>
      <c r="C1090" s="845" t="s">
        <v>2803</v>
      </c>
      <c r="D1090" s="845" t="s">
        <v>2887</v>
      </c>
      <c r="E1090" s="843">
        <v>2018</v>
      </c>
      <c r="F1090" s="844" t="s">
        <v>2918</v>
      </c>
      <c r="G1090" s="842" t="s">
        <v>2919</v>
      </c>
      <c r="H1090" s="843" t="s">
        <v>2920</v>
      </c>
      <c r="I1090" s="842" t="s">
        <v>2919</v>
      </c>
      <c r="J1090" s="840">
        <v>14927514</v>
      </c>
      <c r="K1090" s="840">
        <v>15558931</v>
      </c>
      <c r="L1090" s="841">
        <v>110445946</v>
      </c>
      <c r="M1090" s="840">
        <v>139671227</v>
      </c>
      <c r="N1090" s="839">
        <f>Indicadores[[#This Row],[Ventas]]/Indicadores[[#This Row],[Activos totales]]</f>
        <v>1.2646116227751809</v>
      </c>
      <c r="O1090" s="837">
        <f>IF(Indicadores[[#This Row],[Ventas]]=0,0,Indicadores[[#This Row],[EBITDA]]/Indicadores[[#This Row],[Ventas]])</f>
        <v>0.11139682334143167</v>
      </c>
      <c r="P1090" s="837">
        <f>IF(Indicadores[[#This Row],[Ventas]]=0,0,Indicadores[[#This Row],[UAI]]/Indicadores[[#This Row],[Ventas]])</f>
        <v>0.10687608550900753</v>
      </c>
      <c r="Q1090" s="837">
        <f>IFERROR(Indicadores[[#This Row],[Ventas]]/Indicadores[[#This Row],[Activos totales]],0)</f>
        <v>1.2646116227751809</v>
      </c>
    </row>
    <row r="1091" spans="1:17" hidden="1" x14ac:dyDescent="0.3">
      <c r="A1091" s="13" t="str">
        <f>MID(Indicadores[[#This Row],[CIIU]],2,4)</f>
        <v>4751</v>
      </c>
      <c r="B1091" s="13" t="str">
        <f>Indicadores[[#This Row],[CIIU]]&amp;Indicadores[[#This Row],[Año]]</f>
        <v>G47512018</v>
      </c>
      <c r="C1091" s="845" t="s">
        <v>2803</v>
      </c>
      <c r="D1091" s="845" t="s">
        <v>2887</v>
      </c>
      <c r="E1091" s="843">
        <v>2018</v>
      </c>
      <c r="F1091" s="844" t="s">
        <v>2921</v>
      </c>
      <c r="G1091" s="842" t="s">
        <v>2922</v>
      </c>
      <c r="H1091" s="843" t="s">
        <v>2923</v>
      </c>
      <c r="I1091" s="842" t="s">
        <v>2922</v>
      </c>
      <c r="J1091" s="840">
        <v>28301574</v>
      </c>
      <c r="K1091" s="840">
        <v>34878538</v>
      </c>
      <c r="L1091" s="841">
        <v>673964484</v>
      </c>
      <c r="M1091" s="840">
        <v>721431836</v>
      </c>
      <c r="N1091" s="839">
        <f>Indicadores[[#This Row],[Ventas]]/Indicadores[[#This Row],[Activos totales]]</f>
        <v>1.0704300495454595</v>
      </c>
      <c r="O1091" s="837">
        <f>IF(Indicadores[[#This Row],[Ventas]]=0,0,Indicadores[[#This Row],[EBITDA]]/Indicadores[[#This Row],[Ventas]])</f>
        <v>4.8346269542781865E-2</v>
      </c>
      <c r="P1091" s="837">
        <f>IF(Indicadores[[#This Row],[Ventas]]=0,0,Indicadores[[#This Row],[UAI]]/Indicadores[[#This Row],[Ventas]])</f>
        <v>3.9229727034114419E-2</v>
      </c>
      <c r="Q1091" s="837">
        <f>IFERROR(Indicadores[[#This Row],[Ventas]]/Indicadores[[#This Row],[Activos totales]],0)</f>
        <v>1.0704300495454595</v>
      </c>
    </row>
    <row r="1092" spans="1:17" hidden="1" x14ac:dyDescent="0.3">
      <c r="A1092" s="13" t="str">
        <f>MID(Indicadores[[#This Row],[CIIU]],2,4)</f>
        <v>4752</v>
      </c>
      <c r="B1092" s="13" t="str">
        <f>Indicadores[[#This Row],[CIIU]]&amp;Indicadores[[#This Row],[Año]]</f>
        <v>G47522018</v>
      </c>
      <c r="C1092" s="845" t="s">
        <v>2803</v>
      </c>
      <c r="D1092" s="845" t="s">
        <v>2887</v>
      </c>
      <c r="E1092" s="843">
        <v>2018</v>
      </c>
      <c r="F1092" s="844" t="s">
        <v>2924</v>
      </c>
      <c r="G1092" s="842" t="s">
        <v>2925</v>
      </c>
      <c r="H1092" s="843" t="s">
        <v>2926</v>
      </c>
      <c r="I1092" s="842" t="s">
        <v>2925</v>
      </c>
      <c r="J1092" s="840">
        <v>127605515</v>
      </c>
      <c r="K1092" s="840">
        <v>154398466</v>
      </c>
      <c r="L1092" s="841">
        <v>2163553218</v>
      </c>
      <c r="M1092" s="840">
        <v>3161486371</v>
      </c>
      <c r="N1092" s="839">
        <f>Indicadores[[#This Row],[Ventas]]/Indicadores[[#This Row],[Activos totales]]</f>
        <v>1.4612473336442793</v>
      </c>
      <c r="O1092" s="837">
        <f>IF(Indicadores[[#This Row],[Ventas]]=0,0,Indicadores[[#This Row],[EBITDA]]/Indicadores[[#This Row],[Ventas]])</f>
        <v>4.8837302420874487E-2</v>
      </c>
      <c r="P1092" s="837">
        <f>IF(Indicadores[[#This Row],[Ventas]]=0,0,Indicadores[[#This Row],[UAI]]/Indicadores[[#This Row],[Ventas]])</f>
        <v>4.0362506753314736E-2</v>
      </c>
      <c r="Q1092" s="837">
        <f>IFERROR(Indicadores[[#This Row],[Ventas]]/Indicadores[[#This Row],[Activos totales]],0)</f>
        <v>1.4612473336442793</v>
      </c>
    </row>
    <row r="1093" spans="1:17" hidden="1" x14ac:dyDescent="0.3">
      <c r="A1093" s="13" t="str">
        <f>MID(Indicadores[[#This Row],[CIIU]],2,4)</f>
        <v>4753</v>
      </c>
      <c r="B1093" s="13" t="str">
        <f>Indicadores[[#This Row],[CIIU]]&amp;Indicadores[[#This Row],[Año]]</f>
        <v>G47532018</v>
      </c>
      <c r="C1093" s="845" t="s">
        <v>2803</v>
      </c>
      <c r="D1093" s="845" t="s">
        <v>2887</v>
      </c>
      <c r="E1093" s="843">
        <v>2018</v>
      </c>
      <c r="F1093" s="844" t="s">
        <v>2927</v>
      </c>
      <c r="G1093" s="842" t="s">
        <v>2928</v>
      </c>
      <c r="H1093" s="843" t="s">
        <v>2929</v>
      </c>
      <c r="I1093" s="842" t="s">
        <v>2928</v>
      </c>
      <c r="J1093" s="840">
        <v>841100</v>
      </c>
      <c r="K1093" s="840">
        <v>1011238</v>
      </c>
      <c r="L1093" s="841">
        <v>26109826</v>
      </c>
      <c r="M1093" s="840">
        <v>42396021</v>
      </c>
      <c r="N1093" s="839">
        <f>Indicadores[[#This Row],[Ventas]]/Indicadores[[#This Row],[Activos totales]]</f>
        <v>1.6237573164983941</v>
      </c>
      <c r="O1093" s="837">
        <f>IF(Indicadores[[#This Row],[Ventas]]=0,0,Indicadores[[#This Row],[EBITDA]]/Indicadores[[#This Row],[Ventas]])</f>
        <v>2.3852191223322584E-2</v>
      </c>
      <c r="P1093" s="837">
        <f>IF(Indicadores[[#This Row],[Ventas]]=0,0,Indicadores[[#This Row],[UAI]]/Indicadores[[#This Row],[Ventas]])</f>
        <v>1.9839125940615984E-2</v>
      </c>
      <c r="Q1093" s="837">
        <f>IFERROR(Indicadores[[#This Row],[Ventas]]/Indicadores[[#This Row],[Activos totales]],0)</f>
        <v>1.6237573164983941</v>
      </c>
    </row>
    <row r="1094" spans="1:17" hidden="1" x14ac:dyDescent="0.3">
      <c r="A1094" s="13" t="str">
        <f>MID(Indicadores[[#This Row],[CIIU]],2,4)</f>
        <v>4754</v>
      </c>
      <c r="B1094" s="13" t="str">
        <f>Indicadores[[#This Row],[CIIU]]&amp;Indicadores[[#This Row],[Año]]</f>
        <v>G47542018</v>
      </c>
      <c r="C1094" s="845" t="s">
        <v>2803</v>
      </c>
      <c r="D1094" s="845" t="s">
        <v>2887</v>
      </c>
      <c r="E1094" s="843">
        <v>2018</v>
      </c>
      <c r="F1094" s="844" t="s">
        <v>2930</v>
      </c>
      <c r="G1094" s="842" t="s">
        <v>2931</v>
      </c>
      <c r="H1094" s="843" t="s">
        <v>2932</v>
      </c>
      <c r="I1094" s="842" t="s">
        <v>2931</v>
      </c>
      <c r="J1094" s="840">
        <v>45390909</v>
      </c>
      <c r="K1094" s="840">
        <v>76625576</v>
      </c>
      <c r="L1094" s="841">
        <v>1670521517</v>
      </c>
      <c r="M1094" s="840">
        <v>1844143007</v>
      </c>
      <c r="N1094" s="839">
        <f>Indicadores[[#This Row],[Ventas]]/Indicadores[[#This Row],[Activos totales]]</f>
        <v>1.1039325074434225</v>
      </c>
      <c r="O1094" s="837">
        <f>IF(Indicadores[[#This Row],[Ventas]]=0,0,Indicadores[[#This Row],[EBITDA]]/Indicadores[[#This Row],[Ventas]])</f>
        <v>4.155077762903666E-2</v>
      </c>
      <c r="P1094" s="837">
        <f>IF(Indicadores[[#This Row],[Ventas]]=0,0,Indicadores[[#This Row],[UAI]]/Indicadores[[#This Row],[Ventas]])</f>
        <v>2.4613551567153492E-2</v>
      </c>
      <c r="Q1094" s="837">
        <f>IFERROR(Indicadores[[#This Row],[Ventas]]/Indicadores[[#This Row],[Activos totales]],0)</f>
        <v>1.1039325074434225</v>
      </c>
    </row>
    <row r="1095" spans="1:17" hidden="1" x14ac:dyDescent="0.3">
      <c r="A1095" s="13" t="str">
        <f>MID(Indicadores[[#This Row],[CIIU]],2,4)</f>
        <v>4755</v>
      </c>
      <c r="B1095" s="13" t="str">
        <f>Indicadores[[#This Row],[CIIU]]&amp;Indicadores[[#This Row],[Año]]</f>
        <v>G47552018</v>
      </c>
      <c r="C1095" s="845" t="s">
        <v>2803</v>
      </c>
      <c r="D1095" s="845" t="s">
        <v>2887</v>
      </c>
      <c r="E1095" s="843">
        <v>2018</v>
      </c>
      <c r="F1095" s="844" t="s">
        <v>2933</v>
      </c>
      <c r="G1095" s="842" t="s">
        <v>2934</v>
      </c>
      <c r="H1095" s="843" t="s">
        <v>2935</v>
      </c>
      <c r="I1095" s="842" t="s">
        <v>2934</v>
      </c>
      <c r="J1095" s="840">
        <v>-1775684</v>
      </c>
      <c r="K1095" s="840">
        <v>857505</v>
      </c>
      <c r="L1095" s="841">
        <v>480394616</v>
      </c>
      <c r="M1095" s="840">
        <v>544859580</v>
      </c>
      <c r="N1095" s="839">
        <f>Indicadores[[#This Row],[Ventas]]/Indicadores[[#This Row],[Activos totales]]</f>
        <v>1.1341916871108313</v>
      </c>
      <c r="O1095" s="837">
        <f>IF(Indicadores[[#This Row],[Ventas]]=0,0,Indicadores[[#This Row],[EBITDA]]/Indicadores[[#This Row],[Ventas]])</f>
        <v>1.5738091638216216E-3</v>
      </c>
      <c r="P1095" s="837">
        <f>IF(Indicadores[[#This Row],[Ventas]]=0,0,Indicadores[[#This Row],[UAI]]/Indicadores[[#This Row],[Ventas]])</f>
        <v>-3.2589754593284385E-3</v>
      </c>
      <c r="Q1095" s="837">
        <f>IFERROR(Indicadores[[#This Row],[Ventas]]/Indicadores[[#This Row],[Activos totales]],0)</f>
        <v>1.1341916871108313</v>
      </c>
    </row>
    <row r="1096" spans="1:17" hidden="1" x14ac:dyDescent="0.3">
      <c r="A1096" s="13" t="str">
        <f>MID(Indicadores[[#This Row],[CIIU]],2,4)</f>
        <v>4759</v>
      </c>
      <c r="B1096" s="13" t="str">
        <f>Indicadores[[#This Row],[CIIU]]&amp;Indicadores[[#This Row],[Año]]</f>
        <v>G47592018</v>
      </c>
      <c r="C1096" s="845" t="s">
        <v>2803</v>
      </c>
      <c r="D1096" s="845" t="s">
        <v>2887</v>
      </c>
      <c r="E1096" s="843">
        <v>2018</v>
      </c>
      <c r="F1096" s="844" t="s">
        <v>2936</v>
      </c>
      <c r="G1096" s="842" t="s">
        <v>2937</v>
      </c>
      <c r="H1096" s="843" t="s">
        <v>2938</v>
      </c>
      <c r="I1096" s="842" t="s">
        <v>2937</v>
      </c>
      <c r="J1096" s="840">
        <v>27573926</v>
      </c>
      <c r="K1096" s="840">
        <v>32071683</v>
      </c>
      <c r="L1096" s="841">
        <v>269017050</v>
      </c>
      <c r="M1096" s="840">
        <v>389054907</v>
      </c>
      <c r="N1096" s="839">
        <f>Indicadores[[#This Row],[Ventas]]/Indicadores[[#This Row],[Activos totales]]</f>
        <v>1.446209104590211</v>
      </c>
      <c r="O1096" s="837">
        <f>IF(Indicadores[[#This Row],[Ventas]]=0,0,Indicadores[[#This Row],[EBITDA]]/Indicadores[[#This Row],[Ventas]])</f>
        <v>8.243485025623902E-2</v>
      </c>
      <c r="P1096" s="837">
        <f>IF(Indicadores[[#This Row],[Ventas]]=0,0,Indicadores[[#This Row],[UAI]]/Indicadores[[#This Row],[Ventas]])</f>
        <v>7.0874124715769232E-2</v>
      </c>
      <c r="Q1096" s="837">
        <f>IFERROR(Indicadores[[#This Row],[Ventas]]/Indicadores[[#This Row],[Activos totales]],0)</f>
        <v>1.446209104590211</v>
      </c>
    </row>
    <row r="1097" spans="1:17" hidden="1" x14ac:dyDescent="0.3">
      <c r="A1097" s="13" t="str">
        <f>MID(Indicadores[[#This Row],[CIIU]],2,4)</f>
        <v>4761</v>
      </c>
      <c r="B1097" s="13" t="str">
        <f>Indicadores[[#This Row],[CIIU]]&amp;Indicadores[[#This Row],[Año]]</f>
        <v>G47612018</v>
      </c>
      <c r="C1097" s="845" t="s">
        <v>2803</v>
      </c>
      <c r="D1097" s="845" t="s">
        <v>2887</v>
      </c>
      <c r="E1097" s="843">
        <v>2018</v>
      </c>
      <c r="F1097" s="844" t="s">
        <v>2939</v>
      </c>
      <c r="G1097" s="842" t="s">
        <v>2940</v>
      </c>
      <c r="H1097" s="843" t="s">
        <v>2941</v>
      </c>
      <c r="I1097" s="842" t="s">
        <v>2940</v>
      </c>
      <c r="J1097" s="840">
        <v>63654096</v>
      </c>
      <c r="K1097" s="840">
        <v>86735396</v>
      </c>
      <c r="L1097" s="841">
        <v>1493251709</v>
      </c>
      <c r="M1097" s="840">
        <v>1284798593</v>
      </c>
      <c r="N1097" s="839">
        <f>Indicadores[[#This Row],[Ventas]]/Indicadores[[#This Row],[Activos totales]]</f>
        <v>0.86040322958036541</v>
      </c>
      <c r="O1097" s="837">
        <f>IF(Indicadores[[#This Row],[Ventas]]=0,0,Indicadores[[#This Row],[EBITDA]]/Indicadores[[#This Row],[Ventas]])</f>
        <v>6.7508943792873533E-2</v>
      </c>
      <c r="P1097" s="837">
        <f>IF(Indicadores[[#This Row],[Ventas]]=0,0,Indicadores[[#This Row],[UAI]]/Indicadores[[#This Row],[Ventas]])</f>
        <v>4.9544026859002013E-2</v>
      </c>
      <c r="Q1097" s="837">
        <f>IFERROR(Indicadores[[#This Row],[Ventas]]/Indicadores[[#This Row],[Activos totales]],0)</f>
        <v>0.86040322958036541</v>
      </c>
    </row>
    <row r="1098" spans="1:17" hidden="1" x14ac:dyDescent="0.3">
      <c r="A1098" s="13" t="str">
        <f>MID(Indicadores[[#This Row],[CIIU]],2,4)</f>
        <v>4762</v>
      </c>
      <c r="B1098" s="13" t="str">
        <f>Indicadores[[#This Row],[CIIU]]&amp;Indicadores[[#This Row],[Año]]</f>
        <v>G47622018</v>
      </c>
      <c r="C1098" s="845" t="s">
        <v>2803</v>
      </c>
      <c r="D1098" s="845" t="s">
        <v>2887</v>
      </c>
      <c r="E1098" s="843">
        <v>2018</v>
      </c>
      <c r="F1098" s="844" t="s">
        <v>2942</v>
      </c>
      <c r="G1098" s="842" t="s">
        <v>2943</v>
      </c>
      <c r="H1098" s="843" t="s">
        <v>2944</v>
      </c>
      <c r="I1098" s="842" t="s">
        <v>2945</v>
      </c>
      <c r="J1098" s="840">
        <v>616377</v>
      </c>
      <c r="K1098" s="840">
        <v>5072763</v>
      </c>
      <c r="L1098" s="841">
        <v>285281821</v>
      </c>
      <c r="M1098" s="840">
        <v>246331912</v>
      </c>
      <c r="N1098" s="839">
        <f>Indicadores[[#This Row],[Ventas]]/Indicadores[[#This Row],[Activos totales]]</f>
        <v>0.86346866104728071</v>
      </c>
      <c r="O1098" s="837">
        <f>IF(Indicadores[[#This Row],[Ventas]]=0,0,Indicadores[[#This Row],[EBITDA]]/Indicadores[[#This Row],[Ventas]])</f>
        <v>2.0593202719102022E-2</v>
      </c>
      <c r="P1098" s="837">
        <f>IF(Indicadores[[#This Row],[Ventas]]=0,0,Indicadores[[#This Row],[UAI]]/Indicadores[[#This Row],[Ventas]])</f>
        <v>2.5022214742521872E-3</v>
      </c>
      <c r="Q1098" s="837">
        <f>IFERROR(Indicadores[[#This Row],[Ventas]]/Indicadores[[#This Row],[Activos totales]],0)</f>
        <v>0.86346866104728071</v>
      </c>
    </row>
    <row r="1099" spans="1:17" hidden="1" x14ac:dyDescent="0.3">
      <c r="A1099" s="13" t="str">
        <f>MID(Indicadores[[#This Row],[CIIU]],2,4)</f>
        <v>4769</v>
      </c>
      <c r="B1099" s="13" t="str">
        <f>Indicadores[[#This Row],[CIIU]]&amp;Indicadores[[#This Row],[Año]]</f>
        <v>G47692018</v>
      </c>
      <c r="C1099" s="845" t="s">
        <v>2803</v>
      </c>
      <c r="D1099" s="845" t="s">
        <v>2887</v>
      </c>
      <c r="E1099" s="843">
        <v>2018</v>
      </c>
      <c r="F1099" s="844" t="s">
        <v>2946</v>
      </c>
      <c r="G1099" s="842" t="s">
        <v>2947</v>
      </c>
      <c r="H1099" s="843" t="s">
        <v>2948</v>
      </c>
      <c r="I1099" s="842" t="s">
        <v>2947</v>
      </c>
      <c r="J1099" s="840">
        <v>2630971</v>
      </c>
      <c r="K1099" s="840">
        <v>3343838</v>
      </c>
      <c r="L1099" s="841">
        <v>63396939</v>
      </c>
      <c r="M1099" s="840">
        <v>89344734</v>
      </c>
      <c r="N1099" s="839">
        <f>Indicadores[[#This Row],[Ventas]]/Indicadores[[#This Row],[Activos totales]]</f>
        <v>1.409290975389206</v>
      </c>
      <c r="O1099" s="837">
        <f>IF(Indicadores[[#This Row],[Ventas]]=0,0,Indicadores[[#This Row],[EBITDA]]/Indicadores[[#This Row],[Ventas]])</f>
        <v>3.7426246072879907E-2</v>
      </c>
      <c r="P1099" s="837">
        <f>IF(Indicadores[[#This Row],[Ventas]]=0,0,Indicadores[[#This Row],[UAI]]/Indicadores[[#This Row],[Ventas]])</f>
        <v>2.94474098495833E-2</v>
      </c>
      <c r="Q1099" s="837">
        <f>IFERROR(Indicadores[[#This Row],[Ventas]]/Indicadores[[#This Row],[Activos totales]],0)</f>
        <v>1.409290975389206</v>
      </c>
    </row>
    <row r="1100" spans="1:17" hidden="1" x14ac:dyDescent="0.3">
      <c r="A1100" s="13" t="str">
        <f>MID(Indicadores[[#This Row],[CIIU]],2,4)</f>
        <v>4771</v>
      </c>
      <c r="B1100" s="13" t="str">
        <f>Indicadores[[#This Row],[CIIU]]&amp;Indicadores[[#This Row],[Año]]</f>
        <v>G47712018</v>
      </c>
      <c r="C1100" s="845" t="s">
        <v>2803</v>
      </c>
      <c r="D1100" s="845" t="s">
        <v>2887</v>
      </c>
      <c r="E1100" s="843">
        <v>2018</v>
      </c>
      <c r="F1100" s="844" t="s">
        <v>2949</v>
      </c>
      <c r="G1100" s="842" t="s">
        <v>2950</v>
      </c>
      <c r="H1100" s="843" t="s">
        <v>2951</v>
      </c>
      <c r="I1100" s="842" t="s">
        <v>2950</v>
      </c>
      <c r="J1100" s="840">
        <v>139910634</v>
      </c>
      <c r="K1100" s="840">
        <v>239798109</v>
      </c>
      <c r="L1100" s="841">
        <v>3202078817</v>
      </c>
      <c r="M1100" s="840">
        <v>4618477967</v>
      </c>
      <c r="N1100" s="839">
        <f>Indicadores[[#This Row],[Ventas]]/Indicadores[[#This Row],[Activos totales]]</f>
        <v>1.442337378605506</v>
      </c>
      <c r="O1100" s="837">
        <f>IF(Indicadores[[#This Row],[Ventas]]=0,0,Indicadores[[#This Row],[EBITDA]]/Indicadores[[#This Row],[Ventas]])</f>
        <v>5.1921457829485838E-2</v>
      </c>
      <c r="P1100" s="837">
        <f>IF(Indicadores[[#This Row],[Ventas]]=0,0,Indicadores[[#This Row],[UAI]]/Indicadores[[#This Row],[Ventas]])</f>
        <v>3.0293667091126342E-2</v>
      </c>
      <c r="Q1100" s="837">
        <f>IFERROR(Indicadores[[#This Row],[Ventas]]/Indicadores[[#This Row],[Activos totales]],0)</f>
        <v>1.442337378605506</v>
      </c>
    </row>
    <row r="1101" spans="1:17" hidden="1" x14ac:dyDescent="0.3">
      <c r="A1101" s="13" t="str">
        <f>MID(Indicadores[[#This Row],[CIIU]],2,4)</f>
        <v>4772</v>
      </c>
      <c r="B1101" s="13" t="str">
        <f>Indicadores[[#This Row],[CIIU]]&amp;Indicadores[[#This Row],[Año]]</f>
        <v>G47722018</v>
      </c>
      <c r="C1101" s="845" t="s">
        <v>2803</v>
      </c>
      <c r="D1101" s="845" t="s">
        <v>2887</v>
      </c>
      <c r="E1101" s="843">
        <v>2018</v>
      </c>
      <c r="F1101" s="844" t="s">
        <v>2952</v>
      </c>
      <c r="G1101" s="842" t="s">
        <v>2953</v>
      </c>
      <c r="H1101" s="843" t="s">
        <v>2954</v>
      </c>
      <c r="I1101" s="842" t="s">
        <v>2955</v>
      </c>
      <c r="J1101" s="840">
        <v>-41677764</v>
      </c>
      <c r="K1101" s="840">
        <v>-25890822</v>
      </c>
      <c r="L1101" s="841">
        <v>1017668492</v>
      </c>
      <c r="M1101" s="840">
        <v>1206329327</v>
      </c>
      <c r="N1101" s="839">
        <f>Indicadores[[#This Row],[Ventas]]/Indicadores[[#This Row],[Activos totales]]</f>
        <v>1.1853853553323925</v>
      </c>
      <c r="O1101" s="837">
        <f>IF(Indicadores[[#This Row],[Ventas]]=0,0,Indicadores[[#This Row],[EBITDA]]/Indicadores[[#This Row],[Ventas]])</f>
        <v>-2.146248244199405E-2</v>
      </c>
      <c r="P1101" s="837">
        <f>IF(Indicadores[[#This Row],[Ventas]]=0,0,Indicadores[[#This Row],[UAI]]/Indicadores[[#This Row],[Ventas]])</f>
        <v>-3.4549242124161675E-2</v>
      </c>
      <c r="Q1101" s="837">
        <f>IFERROR(Indicadores[[#This Row],[Ventas]]/Indicadores[[#This Row],[Activos totales]],0)</f>
        <v>1.1853853553323925</v>
      </c>
    </row>
    <row r="1102" spans="1:17" hidden="1" x14ac:dyDescent="0.3">
      <c r="A1102" s="13" t="str">
        <f>MID(Indicadores[[#This Row],[CIIU]],2,4)</f>
        <v>4773</v>
      </c>
      <c r="B1102" s="13" t="str">
        <f>Indicadores[[#This Row],[CIIU]]&amp;Indicadores[[#This Row],[Año]]</f>
        <v>G47732018</v>
      </c>
      <c r="C1102" s="845" t="s">
        <v>2803</v>
      </c>
      <c r="D1102" s="845" t="s">
        <v>2887</v>
      </c>
      <c r="E1102" s="843">
        <v>2018</v>
      </c>
      <c r="F1102" s="844" t="s">
        <v>2956</v>
      </c>
      <c r="G1102" s="842" t="s">
        <v>2957</v>
      </c>
      <c r="H1102" s="843" t="s">
        <v>2958</v>
      </c>
      <c r="I1102" s="842" t="s">
        <v>2957</v>
      </c>
      <c r="J1102" s="840">
        <v>142636094</v>
      </c>
      <c r="K1102" s="840">
        <v>199426005</v>
      </c>
      <c r="L1102" s="841">
        <v>3607496955</v>
      </c>
      <c r="M1102" s="840">
        <v>4938840854</v>
      </c>
      <c r="N1102" s="839">
        <f>Indicadores[[#This Row],[Ventas]]/Indicadores[[#This Row],[Activos totales]]</f>
        <v>1.3690492093568516</v>
      </c>
      <c r="O1102" s="837">
        <f>IF(Indicadores[[#This Row],[Ventas]]=0,0,Indicadores[[#This Row],[EBITDA]]/Indicadores[[#This Row],[Ventas]])</f>
        <v>4.037911139381694E-2</v>
      </c>
      <c r="P1102" s="837">
        <f>IF(Indicadores[[#This Row],[Ventas]]=0,0,Indicadores[[#This Row],[UAI]]/Indicadores[[#This Row],[Ventas]])</f>
        <v>2.8880479897318026E-2</v>
      </c>
      <c r="Q1102" s="837">
        <f>IFERROR(Indicadores[[#This Row],[Ventas]]/Indicadores[[#This Row],[Activos totales]],0)</f>
        <v>1.3690492093568516</v>
      </c>
    </row>
    <row r="1103" spans="1:17" hidden="1" x14ac:dyDescent="0.3">
      <c r="A1103" s="13" t="str">
        <f>MID(Indicadores[[#This Row],[CIIU]],2,4)</f>
        <v>4774</v>
      </c>
      <c r="B1103" s="13" t="str">
        <f>Indicadores[[#This Row],[CIIU]]&amp;Indicadores[[#This Row],[Año]]</f>
        <v>G47742018</v>
      </c>
      <c r="C1103" s="845" t="s">
        <v>2803</v>
      </c>
      <c r="D1103" s="845" t="s">
        <v>2887</v>
      </c>
      <c r="E1103" s="843">
        <v>2018</v>
      </c>
      <c r="F1103" s="844" t="s">
        <v>2959</v>
      </c>
      <c r="G1103" s="842" t="s">
        <v>2960</v>
      </c>
      <c r="H1103" s="843" t="s">
        <v>2961</v>
      </c>
      <c r="I1103" s="842" t="s">
        <v>2960</v>
      </c>
      <c r="J1103" s="840">
        <v>66919620</v>
      </c>
      <c r="K1103" s="840">
        <v>83460782</v>
      </c>
      <c r="L1103" s="841">
        <v>1465377051</v>
      </c>
      <c r="M1103" s="840">
        <v>2050113472</v>
      </c>
      <c r="N1103" s="839">
        <f>Indicadores[[#This Row],[Ventas]]/Indicadores[[#This Row],[Activos totales]]</f>
        <v>1.3990347880778979</v>
      </c>
      <c r="O1103" s="837">
        <f>IF(Indicadores[[#This Row],[Ventas]]=0,0,Indicadores[[#This Row],[EBITDA]]/Indicadores[[#This Row],[Ventas]])</f>
        <v>4.071032317961374E-2</v>
      </c>
      <c r="P1103" s="837">
        <f>IF(Indicadores[[#This Row],[Ventas]]=0,0,Indicadores[[#This Row],[UAI]]/Indicadores[[#This Row],[Ventas]])</f>
        <v>3.2641910271784216E-2</v>
      </c>
      <c r="Q1103" s="837">
        <f>IFERROR(Indicadores[[#This Row],[Ventas]]/Indicadores[[#This Row],[Activos totales]],0)</f>
        <v>1.3990347880778979</v>
      </c>
    </row>
    <row r="1104" spans="1:17" hidden="1" x14ac:dyDescent="0.3">
      <c r="A1104" s="13" t="str">
        <f>MID(Indicadores[[#This Row],[CIIU]],2,4)</f>
        <v>4775</v>
      </c>
      <c r="B1104" s="13" t="str">
        <f>Indicadores[[#This Row],[CIIU]]&amp;Indicadores[[#This Row],[Año]]</f>
        <v>G47752018</v>
      </c>
      <c r="C1104" s="845" t="s">
        <v>2803</v>
      </c>
      <c r="D1104" s="845" t="s">
        <v>2887</v>
      </c>
      <c r="E1104" s="843">
        <v>2018</v>
      </c>
      <c r="F1104" s="844" t="s">
        <v>2962</v>
      </c>
      <c r="G1104" s="842" t="s">
        <v>2963</v>
      </c>
      <c r="H1104" s="843" t="s">
        <v>2964</v>
      </c>
      <c r="I1104" s="842" t="s">
        <v>2963</v>
      </c>
      <c r="J1104" s="840">
        <v>4111914</v>
      </c>
      <c r="K1104" s="840">
        <v>4578717</v>
      </c>
      <c r="L1104" s="841">
        <v>80738933</v>
      </c>
      <c r="M1104" s="840">
        <v>32373666</v>
      </c>
      <c r="N1104" s="839">
        <f>Indicadores[[#This Row],[Ventas]]/Indicadores[[#This Row],[Activos totales]]</f>
        <v>0.40096722605932877</v>
      </c>
      <c r="O1104" s="837">
        <f>IF(Indicadores[[#This Row],[Ventas]]=0,0,Indicadores[[#This Row],[EBITDA]]/Indicadores[[#This Row],[Ventas]])</f>
        <v>0.14143337983409107</v>
      </c>
      <c r="P1104" s="837">
        <f>IF(Indicadores[[#This Row],[Ventas]]=0,0,Indicadores[[#This Row],[UAI]]/Indicadores[[#This Row],[Ventas]])</f>
        <v>0.12701416021281001</v>
      </c>
      <c r="Q1104" s="837">
        <f>IFERROR(Indicadores[[#This Row],[Ventas]]/Indicadores[[#This Row],[Activos totales]],0)</f>
        <v>0.40096722605932877</v>
      </c>
    </row>
    <row r="1105" spans="1:17" hidden="1" x14ac:dyDescent="0.3">
      <c r="A1105" s="13" t="str">
        <f>MID(Indicadores[[#This Row],[CIIU]],2,4)</f>
        <v>4782</v>
      </c>
      <c r="B1105" s="13" t="str">
        <f>Indicadores[[#This Row],[CIIU]]&amp;Indicadores[[#This Row],[Año]]</f>
        <v>G47822018</v>
      </c>
      <c r="C1105" s="845" t="s">
        <v>2803</v>
      </c>
      <c r="D1105" s="845" t="s">
        <v>2887</v>
      </c>
      <c r="E1105" s="843">
        <v>2018</v>
      </c>
      <c r="F1105" s="844" t="s">
        <v>3558</v>
      </c>
      <c r="G1105" s="842" t="s">
        <v>3559</v>
      </c>
      <c r="H1105" s="843" t="s">
        <v>3560</v>
      </c>
      <c r="I1105" s="842" t="s">
        <v>3559</v>
      </c>
      <c r="J1105" s="840">
        <v>414284</v>
      </c>
      <c r="K1105" s="840">
        <v>449225</v>
      </c>
      <c r="L1105" s="841">
        <v>4011885</v>
      </c>
      <c r="M1105" s="840">
        <v>7873987</v>
      </c>
      <c r="N1105" s="839">
        <f>Indicadores[[#This Row],[Ventas]]/Indicadores[[#This Row],[Activos totales]]</f>
        <v>1.9626651810807139</v>
      </c>
      <c r="O1105" s="837">
        <f>IF(Indicadores[[#This Row],[Ventas]]=0,0,Indicadores[[#This Row],[EBITDA]]/Indicadores[[#This Row],[Ventas]])</f>
        <v>5.7051783296060816E-2</v>
      </c>
      <c r="P1105" s="837">
        <f>IF(Indicadores[[#This Row],[Ventas]]=0,0,Indicadores[[#This Row],[UAI]]/Indicadores[[#This Row],[Ventas]])</f>
        <v>5.2614260094663606E-2</v>
      </c>
      <c r="Q1105" s="837">
        <f>IFERROR(Indicadores[[#This Row],[Ventas]]/Indicadores[[#This Row],[Activos totales]],0)</f>
        <v>1.9626651810807139</v>
      </c>
    </row>
    <row r="1106" spans="1:17" hidden="1" x14ac:dyDescent="0.3">
      <c r="A1106" s="13" t="str">
        <f>MID(Indicadores[[#This Row],[CIIU]],2,4)</f>
        <v>4789</v>
      </c>
      <c r="B1106" s="13" t="str">
        <f>Indicadores[[#This Row],[CIIU]]&amp;Indicadores[[#This Row],[Año]]</f>
        <v>G47892018</v>
      </c>
      <c r="C1106" s="845" t="s">
        <v>2803</v>
      </c>
      <c r="D1106" s="845" t="s">
        <v>2887</v>
      </c>
      <c r="E1106" s="843">
        <v>2018</v>
      </c>
      <c r="F1106" s="844" t="s">
        <v>3561</v>
      </c>
      <c r="G1106" s="842" t="s">
        <v>3562</v>
      </c>
      <c r="H1106" s="843" t="s">
        <v>3563</v>
      </c>
      <c r="I1106" s="842" t="s">
        <v>3562</v>
      </c>
      <c r="J1106" s="840">
        <v>-4238584</v>
      </c>
      <c r="K1106" s="840">
        <v>-4238584</v>
      </c>
      <c r="L1106" s="841">
        <v>13323875</v>
      </c>
      <c r="M1106" s="840">
        <v>10639460</v>
      </c>
      <c r="N1106" s="839">
        <f>Indicadores[[#This Row],[Ventas]]/Indicadores[[#This Row],[Activos totales]]</f>
        <v>0.7985259543488662</v>
      </c>
      <c r="O1106" s="837">
        <f>IF(Indicadores[[#This Row],[Ventas]]=0,0,Indicadores[[#This Row],[EBITDA]]/Indicadores[[#This Row],[Ventas]])</f>
        <v>-0.39838337659994022</v>
      </c>
      <c r="P1106" s="837">
        <f>IF(Indicadores[[#This Row],[Ventas]]=0,0,Indicadores[[#This Row],[UAI]]/Indicadores[[#This Row],[Ventas]])</f>
        <v>-0.39838337659994022</v>
      </c>
      <c r="Q1106" s="837">
        <f>IFERROR(Indicadores[[#This Row],[Ventas]]/Indicadores[[#This Row],[Activos totales]],0)</f>
        <v>0.7985259543488662</v>
      </c>
    </row>
    <row r="1107" spans="1:17" hidden="1" x14ac:dyDescent="0.3">
      <c r="A1107" s="13" t="str">
        <f>MID(Indicadores[[#This Row],[CIIU]],2,4)</f>
        <v>4791</v>
      </c>
      <c r="B1107" s="13" t="str">
        <f>Indicadores[[#This Row],[CIIU]]&amp;Indicadores[[#This Row],[Año]]</f>
        <v>G47912018</v>
      </c>
      <c r="C1107" s="845" t="s">
        <v>2803</v>
      </c>
      <c r="D1107" s="845" t="s">
        <v>2887</v>
      </c>
      <c r="E1107" s="843">
        <v>2018</v>
      </c>
      <c r="F1107" s="844" t="s">
        <v>2968</v>
      </c>
      <c r="G1107" s="842" t="s">
        <v>2969</v>
      </c>
      <c r="H1107" s="843" t="s">
        <v>2970</v>
      </c>
      <c r="I1107" s="842" t="s">
        <v>2971</v>
      </c>
      <c r="J1107" s="840">
        <v>-38566723</v>
      </c>
      <c r="K1107" s="840">
        <v>-36943642</v>
      </c>
      <c r="L1107" s="841">
        <v>66118529</v>
      </c>
      <c r="M1107" s="840">
        <v>132001924</v>
      </c>
      <c r="N1107" s="839">
        <f>Indicadores[[#This Row],[Ventas]]/Indicadores[[#This Row],[Activos totales]]</f>
        <v>1.996443750283676</v>
      </c>
      <c r="O1107" s="837">
        <f>IF(Indicadores[[#This Row],[Ventas]]=0,0,Indicadores[[#This Row],[EBITDA]]/Indicadores[[#This Row],[Ventas]])</f>
        <v>-0.2798719964112038</v>
      </c>
      <c r="P1107" s="837">
        <f>IF(Indicadores[[#This Row],[Ventas]]=0,0,Indicadores[[#This Row],[UAI]]/Indicadores[[#This Row],[Ventas]])</f>
        <v>-0.29216788537112537</v>
      </c>
      <c r="Q1107" s="837">
        <f>IFERROR(Indicadores[[#This Row],[Ventas]]/Indicadores[[#This Row],[Activos totales]],0)</f>
        <v>1.996443750283676</v>
      </c>
    </row>
    <row r="1108" spans="1:17" hidden="1" x14ac:dyDescent="0.3">
      <c r="A1108" s="13" t="str">
        <f>MID(Indicadores[[#This Row],[CIIU]],2,4)</f>
        <v>4799</v>
      </c>
      <c r="B1108" s="13" t="str">
        <f>Indicadores[[#This Row],[CIIU]]&amp;Indicadores[[#This Row],[Año]]</f>
        <v>G47992018</v>
      </c>
      <c r="C1108" s="845" t="s">
        <v>2803</v>
      </c>
      <c r="D1108" s="845" t="s">
        <v>2887</v>
      </c>
      <c r="E1108" s="843">
        <v>2018</v>
      </c>
      <c r="F1108" s="844" t="s">
        <v>2975</v>
      </c>
      <c r="G1108" s="842" t="s">
        <v>2976</v>
      </c>
      <c r="H1108" s="843" t="s">
        <v>2977</v>
      </c>
      <c r="I1108" s="842" t="s">
        <v>2978</v>
      </c>
      <c r="J1108" s="840">
        <v>240989705</v>
      </c>
      <c r="K1108" s="840">
        <v>262417310</v>
      </c>
      <c r="L1108" s="841">
        <v>1939755673</v>
      </c>
      <c r="M1108" s="840">
        <v>1514854785</v>
      </c>
      <c r="N1108" s="839">
        <f>Indicadores[[#This Row],[Ventas]]/Indicadores[[#This Row],[Activos totales]]</f>
        <v>0.78095133633873903</v>
      </c>
      <c r="O1108" s="837">
        <f>IF(Indicadores[[#This Row],[Ventas]]=0,0,Indicadores[[#This Row],[EBITDA]]/Indicadores[[#This Row],[Ventas]])</f>
        <v>0.1732293501650721</v>
      </c>
      <c r="P1108" s="837">
        <f>IF(Indicadores[[#This Row],[Ventas]]=0,0,Indicadores[[#This Row],[UAI]]/Indicadores[[#This Row],[Ventas]])</f>
        <v>0.15908436068345652</v>
      </c>
      <c r="Q1108" s="837">
        <f>IFERROR(Indicadores[[#This Row],[Ventas]]/Indicadores[[#This Row],[Activos totales]],0)</f>
        <v>0.78095133633873903</v>
      </c>
    </row>
    <row r="1109" spans="1:17" hidden="1" x14ac:dyDescent="0.3">
      <c r="A1109" s="13" t="str">
        <f>MID(Indicadores[[#This Row],[CIIU]],2,4)</f>
        <v>4911</v>
      </c>
      <c r="B1109" s="13" t="str">
        <f>Indicadores[[#This Row],[CIIU]]&amp;Indicadores[[#This Row],[Año]]</f>
        <v>H49112018</v>
      </c>
      <c r="C1109" s="845" t="s">
        <v>2979</v>
      </c>
      <c r="D1109" s="845" t="s">
        <v>2980</v>
      </c>
      <c r="E1109" s="843">
        <v>2018</v>
      </c>
      <c r="F1109" s="844" t="s">
        <v>2981</v>
      </c>
      <c r="G1109" s="842" t="s">
        <v>2982</v>
      </c>
      <c r="H1109" s="843" t="s">
        <v>2983</v>
      </c>
      <c r="I1109" s="842" t="s">
        <v>2982</v>
      </c>
      <c r="J1109" s="840">
        <v>140438</v>
      </c>
      <c r="K1109" s="840">
        <v>140438</v>
      </c>
      <c r="L1109" s="841">
        <v>2344364</v>
      </c>
      <c r="M1109" s="840">
        <v>2736229</v>
      </c>
      <c r="N1109" s="839">
        <f>Indicadores[[#This Row],[Ventas]]/Indicadores[[#This Row],[Activos totales]]</f>
        <v>1.1671519439813953</v>
      </c>
      <c r="O1109" s="837">
        <f>IF(Indicadores[[#This Row],[Ventas]]=0,0,Indicadores[[#This Row],[EBITDA]]/Indicadores[[#This Row],[Ventas]])</f>
        <v>5.1325382488088531E-2</v>
      </c>
      <c r="P1109" s="837">
        <f>IF(Indicadores[[#This Row],[Ventas]]=0,0,Indicadores[[#This Row],[UAI]]/Indicadores[[#This Row],[Ventas]])</f>
        <v>5.1325382488088531E-2</v>
      </c>
      <c r="Q1109" s="837">
        <f>IFERROR(Indicadores[[#This Row],[Ventas]]/Indicadores[[#This Row],[Activos totales]],0)</f>
        <v>1.1671519439813953</v>
      </c>
    </row>
    <row r="1110" spans="1:17" hidden="1" x14ac:dyDescent="0.3">
      <c r="A1110" s="13" t="str">
        <f>MID(Indicadores[[#This Row],[CIIU]],2,4)</f>
        <v>4912</v>
      </c>
      <c r="B1110" s="13" t="str">
        <f>Indicadores[[#This Row],[CIIU]]&amp;Indicadores[[#This Row],[Año]]</f>
        <v>H49122018</v>
      </c>
      <c r="C1110" s="845" t="s">
        <v>2979</v>
      </c>
      <c r="D1110" s="845" t="s">
        <v>2980</v>
      </c>
      <c r="E1110" s="843">
        <v>2018</v>
      </c>
      <c r="F1110" s="844" t="s">
        <v>2984</v>
      </c>
      <c r="G1110" s="842" t="s">
        <v>2985</v>
      </c>
      <c r="H1110" s="843" t="s">
        <v>2986</v>
      </c>
      <c r="I1110" s="842" t="s">
        <v>2987</v>
      </c>
      <c r="J1110" s="840">
        <v>28743112</v>
      </c>
      <c r="K1110" s="840">
        <v>28744456</v>
      </c>
      <c r="L1110" s="841">
        <v>103555409</v>
      </c>
      <c r="M1110" s="840">
        <v>6786507</v>
      </c>
      <c r="N1110" s="839">
        <f>Indicadores[[#This Row],[Ventas]]/Indicadores[[#This Row],[Activos totales]]</f>
        <v>6.5535031588741063E-2</v>
      </c>
      <c r="O1110" s="837">
        <f>IF(Indicadores[[#This Row],[Ventas]]=0,0,Indicadores[[#This Row],[EBITDA]]/Indicadores[[#This Row],[Ventas]])</f>
        <v>4.2355302956292533</v>
      </c>
      <c r="P1110" s="837">
        <f>IF(Indicadores[[#This Row],[Ventas]]=0,0,Indicadores[[#This Row],[UAI]]/Indicadores[[#This Row],[Ventas]])</f>
        <v>4.2353322556066031</v>
      </c>
      <c r="Q1110" s="837">
        <f>IFERROR(Indicadores[[#This Row],[Ventas]]/Indicadores[[#This Row],[Activos totales]],0)</f>
        <v>6.5535031588741063E-2</v>
      </c>
    </row>
    <row r="1111" spans="1:17" hidden="1" x14ac:dyDescent="0.3">
      <c r="A1111" s="13" t="str">
        <f>MID(Indicadores[[#This Row],[CIIU]],2,4)</f>
        <v>4921</v>
      </c>
      <c r="B1111" s="13" t="str">
        <f>Indicadores[[#This Row],[CIIU]]&amp;Indicadores[[#This Row],[Año]]</f>
        <v>H49212018</v>
      </c>
      <c r="C1111" s="845" t="s">
        <v>2979</v>
      </c>
      <c r="D1111" s="845" t="s">
        <v>2980</v>
      </c>
      <c r="E1111" s="843">
        <v>2018</v>
      </c>
      <c r="F1111" s="844" t="s">
        <v>2988</v>
      </c>
      <c r="G1111" s="842" t="s">
        <v>2989</v>
      </c>
      <c r="H1111" s="843" t="s">
        <v>2990</v>
      </c>
      <c r="I1111" s="842" t="s">
        <v>2989</v>
      </c>
      <c r="J1111" s="840">
        <v>70018542</v>
      </c>
      <c r="K1111" s="840">
        <v>503282721</v>
      </c>
      <c r="L1111" s="841">
        <v>18958208109</v>
      </c>
      <c r="M1111" s="840">
        <v>5092093573</v>
      </c>
      <c r="N1111" s="839">
        <f>Indicadores[[#This Row],[Ventas]]/Indicadores[[#This Row],[Activos totales]]</f>
        <v>0.26859572084677341</v>
      </c>
      <c r="O1111" s="837">
        <f>IF(Indicadores[[#This Row],[Ventas]]=0,0,Indicadores[[#This Row],[EBITDA]]/Indicadores[[#This Row],[Ventas]])</f>
        <v>9.8836110095968183E-2</v>
      </c>
      <c r="P1111" s="837">
        <f>IF(Indicadores[[#This Row],[Ventas]]=0,0,Indicadores[[#This Row],[UAI]]/Indicadores[[#This Row],[Ventas]])</f>
        <v>1.3750442916301059E-2</v>
      </c>
      <c r="Q1111" s="837">
        <f>IFERROR(Indicadores[[#This Row],[Ventas]]/Indicadores[[#This Row],[Activos totales]],0)</f>
        <v>0.26859572084677341</v>
      </c>
    </row>
    <row r="1112" spans="1:17" hidden="1" x14ac:dyDescent="0.3">
      <c r="A1112" s="13" t="str">
        <f>MID(Indicadores[[#This Row],[CIIU]],2,4)</f>
        <v>4922</v>
      </c>
      <c r="B1112" s="13" t="str">
        <f>Indicadores[[#This Row],[CIIU]]&amp;Indicadores[[#This Row],[Año]]</f>
        <v>H49222018</v>
      </c>
      <c r="C1112" s="845" t="s">
        <v>2979</v>
      </c>
      <c r="D1112" s="845" t="s">
        <v>2980</v>
      </c>
      <c r="E1112" s="843">
        <v>2018</v>
      </c>
      <c r="F1112" s="844" t="s">
        <v>3564</v>
      </c>
      <c r="G1112" s="842" t="s">
        <v>3565</v>
      </c>
      <c r="H1112" s="843" t="s">
        <v>3566</v>
      </c>
      <c r="I1112" s="842" t="s">
        <v>3565</v>
      </c>
      <c r="J1112" s="840">
        <v>-10526095</v>
      </c>
      <c r="K1112" s="840">
        <v>7196900</v>
      </c>
      <c r="L1112" s="841">
        <v>272174766</v>
      </c>
      <c r="M1112" s="840">
        <v>129746526</v>
      </c>
      <c r="N1112" s="839">
        <f>Indicadores[[#This Row],[Ventas]]/Indicadores[[#This Row],[Activos totales]]</f>
        <v>0.47670299457518411</v>
      </c>
      <c r="O1112" s="837">
        <f>IF(Indicadores[[#This Row],[Ventas]]=0,0,Indicadores[[#This Row],[EBITDA]]/Indicadores[[#This Row],[Ventas]])</f>
        <v>5.5468922535929784E-2</v>
      </c>
      <c r="P1112" s="837">
        <f>IF(Indicadores[[#This Row],[Ventas]]=0,0,Indicadores[[#This Row],[UAI]]/Indicadores[[#This Row],[Ventas]])</f>
        <v>-8.1128145195964632E-2</v>
      </c>
      <c r="Q1112" s="837">
        <f>IFERROR(Indicadores[[#This Row],[Ventas]]/Indicadores[[#This Row],[Activos totales]],0)</f>
        <v>0.47670299457518411</v>
      </c>
    </row>
    <row r="1113" spans="1:17" hidden="1" x14ac:dyDescent="0.3">
      <c r="A1113" s="13" t="str">
        <f>MID(Indicadores[[#This Row],[CIIU]],2,4)</f>
        <v>4923</v>
      </c>
      <c r="B1113" s="13" t="str">
        <f>Indicadores[[#This Row],[CIIU]]&amp;Indicadores[[#This Row],[Año]]</f>
        <v>H49232018</v>
      </c>
      <c r="C1113" s="845" t="s">
        <v>2979</v>
      </c>
      <c r="D1113" s="845" t="s">
        <v>2980</v>
      </c>
      <c r="E1113" s="843">
        <v>2018</v>
      </c>
      <c r="F1113" s="844" t="s">
        <v>2991</v>
      </c>
      <c r="G1113" s="842" t="s">
        <v>2992</v>
      </c>
      <c r="H1113" s="843" t="s">
        <v>2993</v>
      </c>
      <c r="I1113" s="842" t="s">
        <v>2992</v>
      </c>
      <c r="J1113" s="840">
        <v>26059001</v>
      </c>
      <c r="K1113" s="840">
        <v>44886957</v>
      </c>
      <c r="L1113" s="841">
        <v>1068772192</v>
      </c>
      <c r="M1113" s="840">
        <v>656133798</v>
      </c>
      <c r="N1113" s="839">
        <f>Indicadores[[#This Row],[Ventas]]/Indicadores[[#This Row],[Activos totales]]</f>
        <v>0.61391361312664094</v>
      </c>
      <c r="O1113" s="837">
        <f>IF(Indicadores[[#This Row],[Ventas]]=0,0,Indicadores[[#This Row],[EBITDA]]/Indicadores[[#This Row],[Ventas]])</f>
        <v>6.8411286138318997E-2</v>
      </c>
      <c r="P1113" s="837">
        <f>IF(Indicadores[[#This Row],[Ventas]]=0,0,Indicadores[[#This Row],[UAI]]/Indicadores[[#This Row],[Ventas]])</f>
        <v>3.9715986403126881E-2</v>
      </c>
      <c r="Q1113" s="837">
        <f>IFERROR(Indicadores[[#This Row],[Ventas]]/Indicadores[[#This Row],[Activos totales]],0)</f>
        <v>0.61391361312664094</v>
      </c>
    </row>
    <row r="1114" spans="1:17" hidden="1" x14ac:dyDescent="0.3">
      <c r="A1114" s="13" t="str">
        <f>MID(Indicadores[[#This Row],[CIIU]],2,4)</f>
        <v>4930</v>
      </c>
      <c r="B1114" s="13" t="str">
        <f>Indicadores[[#This Row],[CIIU]]&amp;Indicadores[[#This Row],[Año]]</f>
        <v>H49302018</v>
      </c>
      <c r="C1114" s="845" t="s">
        <v>2979</v>
      </c>
      <c r="D1114" s="845" t="s">
        <v>2980</v>
      </c>
      <c r="E1114" s="843">
        <v>2018</v>
      </c>
      <c r="F1114" s="844" t="s">
        <v>2994</v>
      </c>
      <c r="G1114" s="838" t="s">
        <v>2995</v>
      </c>
      <c r="H1114" s="843" t="s">
        <v>2996</v>
      </c>
      <c r="I1114" s="842" t="s">
        <v>2995</v>
      </c>
      <c r="J1114" s="840">
        <v>7053772851</v>
      </c>
      <c r="K1114" s="840">
        <v>7878563914</v>
      </c>
      <c r="L1114" s="841">
        <v>29197577457</v>
      </c>
      <c r="M1114" s="840">
        <v>8246698326</v>
      </c>
      <c r="N1114" s="839">
        <f>Indicadores[[#This Row],[Ventas]]/Indicadores[[#This Row],[Activos totales]]</f>
        <v>0.28244460822632006</v>
      </c>
      <c r="O1114" s="837">
        <f>IF(Indicadores[[#This Row],[Ventas]]=0,0,Indicadores[[#This Row],[EBITDA]]/Indicadores[[#This Row],[Ventas]])</f>
        <v>0.95535978188515103</v>
      </c>
      <c r="P1114" s="837">
        <f>IF(Indicadores[[#This Row],[Ventas]]=0,0,Indicadores[[#This Row],[UAI]]/Indicadores[[#This Row],[Ventas]])</f>
        <v>0.85534508140803789</v>
      </c>
      <c r="Q1114" s="837">
        <f>IFERROR(Indicadores[[#This Row],[Ventas]]/Indicadores[[#This Row],[Activos totales]],0)</f>
        <v>0.28244460822632006</v>
      </c>
    </row>
    <row r="1115" spans="1:17" hidden="1" x14ac:dyDescent="0.3">
      <c r="A1115" s="13" t="str">
        <f>MID(Indicadores[[#This Row],[CIIU]],2,4)</f>
        <v>5011</v>
      </c>
      <c r="B1115" s="13" t="str">
        <f>Indicadores[[#This Row],[CIIU]]&amp;Indicadores[[#This Row],[Año]]</f>
        <v>H50112018</v>
      </c>
      <c r="C1115" s="845" t="s">
        <v>2979</v>
      </c>
      <c r="D1115" s="845" t="s">
        <v>2997</v>
      </c>
      <c r="E1115" s="843">
        <v>2018</v>
      </c>
      <c r="F1115" s="844" t="s">
        <v>2998</v>
      </c>
      <c r="G1115" s="842" t="s">
        <v>2999</v>
      </c>
      <c r="H1115" s="843" t="s">
        <v>3000</v>
      </c>
      <c r="I1115" s="842" t="s">
        <v>3001</v>
      </c>
      <c r="J1115" s="840">
        <v>2265205</v>
      </c>
      <c r="K1115" s="840">
        <v>2358895</v>
      </c>
      <c r="L1115" s="841">
        <v>15847708</v>
      </c>
      <c r="M1115" s="840">
        <v>11408964</v>
      </c>
      <c r="N1115" s="839">
        <f>Indicadores[[#This Row],[Ventas]]/Indicadores[[#This Row],[Activos totales]]</f>
        <v>0.71991255770235041</v>
      </c>
      <c r="O1115" s="837">
        <f>IF(Indicadores[[#This Row],[Ventas]]=0,0,Indicadores[[#This Row],[EBITDA]]/Indicadores[[#This Row],[Ventas]])</f>
        <v>0.20675803692605219</v>
      </c>
      <c r="P1115" s="837">
        <f>IF(Indicadores[[#This Row],[Ventas]]=0,0,Indicadores[[#This Row],[UAI]]/Indicadores[[#This Row],[Ventas]])</f>
        <v>0.19854607307026301</v>
      </c>
      <c r="Q1115" s="837">
        <f>IFERROR(Indicadores[[#This Row],[Ventas]]/Indicadores[[#This Row],[Activos totales]],0)</f>
        <v>0.71991255770235041</v>
      </c>
    </row>
    <row r="1116" spans="1:17" hidden="1" x14ac:dyDescent="0.3">
      <c r="A1116" s="13" t="str">
        <f>MID(Indicadores[[#This Row],[CIIU]],2,4)</f>
        <v>5012</v>
      </c>
      <c r="B1116" s="13" t="str">
        <f>Indicadores[[#This Row],[CIIU]]&amp;Indicadores[[#This Row],[Año]]</f>
        <v>H50122018</v>
      </c>
      <c r="C1116" s="845" t="s">
        <v>2979</v>
      </c>
      <c r="D1116" s="845" t="s">
        <v>2997</v>
      </c>
      <c r="E1116" s="843">
        <v>2018</v>
      </c>
      <c r="F1116" s="844" t="s">
        <v>3002</v>
      </c>
      <c r="G1116" s="842" t="s">
        <v>3003</v>
      </c>
      <c r="H1116" s="843" t="s">
        <v>3004</v>
      </c>
      <c r="I1116" s="842" t="s">
        <v>3005</v>
      </c>
      <c r="J1116" s="840">
        <v>6631884</v>
      </c>
      <c r="K1116" s="840">
        <v>7195039</v>
      </c>
      <c r="L1116" s="841">
        <v>80052441</v>
      </c>
      <c r="M1116" s="840">
        <v>25750137</v>
      </c>
      <c r="N1116" s="839">
        <f>Indicadores[[#This Row],[Ventas]]/Indicadores[[#This Row],[Activos totales]]</f>
        <v>0.32166585651023433</v>
      </c>
      <c r="O1116" s="837">
        <f>IF(Indicadores[[#This Row],[Ventas]]=0,0,Indicadores[[#This Row],[EBITDA]]/Indicadores[[#This Row],[Ventas]])</f>
        <v>0.27941750368163087</v>
      </c>
      <c r="P1116" s="837">
        <f>IF(Indicadores[[#This Row],[Ventas]]=0,0,Indicadores[[#This Row],[UAI]]/Indicadores[[#This Row],[Ventas]])</f>
        <v>0.25754752295104294</v>
      </c>
      <c r="Q1116" s="837">
        <f>IFERROR(Indicadores[[#This Row],[Ventas]]/Indicadores[[#This Row],[Activos totales]],0)</f>
        <v>0.32166585651023433</v>
      </c>
    </row>
    <row r="1117" spans="1:17" hidden="1" x14ac:dyDescent="0.3">
      <c r="A1117" s="13" t="str">
        <f>MID(Indicadores[[#This Row],[CIIU]],2,4)</f>
        <v>5021</v>
      </c>
      <c r="B1117" s="13" t="str">
        <f>Indicadores[[#This Row],[CIIU]]&amp;Indicadores[[#This Row],[Año]]</f>
        <v>H50212018</v>
      </c>
      <c r="C1117" s="845" t="s">
        <v>2979</v>
      </c>
      <c r="D1117" s="845" t="s">
        <v>2997</v>
      </c>
      <c r="E1117" s="843">
        <v>2018</v>
      </c>
      <c r="F1117" s="844" t="s">
        <v>3567</v>
      </c>
      <c r="G1117" s="842" t="s">
        <v>3568</v>
      </c>
      <c r="H1117" s="843" t="s">
        <v>3569</v>
      </c>
      <c r="I1117" s="842" t="s">
        <v>3568</v>
      </c>
      <c r="J1117" s="840">
        <v>101247</v>
      </c>
      <c r="K1117" s="840">
        <v>101247</v>
      </c>
      <c r="L1117" s="841">
        <v>3200582</v>
      </c>
      <c r="M1117" s="840">
        <v>6382450</v>
      </c>
      <c r="N1117" s="839">
        <f>Indicadores[[#This Row],[Ventas]]/Indicadores[[#This Row],[Activos totales]]</f>
        <v>1.9941529384343222</v>
      </c>
      <c r="O1117" s="837">
        <f>IF(Indicadores[[#This Row],[Ventas]]=0,0,Indicadores[[#This Row],[EBITDA]]/Indicadores[[#This Row],[Ventas]])</f>
        <v>1.5863344013662465E-2</v>
      </c>
      <c r="P1117" s="837">
        <f>IF(Indicadores[[#This Row],[Ventas]]=0,0,Indicadores[[#This Row],[UAI]]/Indicadores[[#This Row],[Ventas]])</f>
        <v>1.5863344013662465E-2</v>
      </c>
      <c r="Q1117" s="837">
        <f>IFERROR(Indicadores[[#This Row],[Ventas]]/Indicadores[[#This Row],[Activos totales]],0)</f>
        <v>1.9941529384343222</v>
      </c>
    </row>
    <row r="1118" spans="1:17" hidden="1" x14ac:dyDescent="0.3">
      <c r="A1118" s="13" t="str">
        <f>MID(Indicadores[[#This Row],[CIIU]],2,4)</f>
        <v>5022</v>
      </c>
      <c r="B1118" s="13" t="str">
        <f>Indicadores[[#This Row],[CIIU]]&amp;Indicadores[[#This Row],[Año]]</f>
        <v>H50222018</v>
      </c>
      <c r="C1118" s="845" t="s">
        <v>2979</v>
      </c>
      <c r="D1118" s="845" t="s">
        <v>2997</v>
      </c>
      <c r="E1118" s="843">
        <v>2018</v>
      </c>
      <c r="F1118" s="844" t="s">
        <v>3006</v>
      </c>
      <c r="G1118" s="838" t="s">
        <v>3007</v>
      </c>
      <c r="H1118" s="843" t="s">
        <v>3008</v>
      </c>
      <c r="I1118" s="842" t="s">
        <v>3007</v>
      </c>
      <c r="J1118" s="840">
        <v>-3316500</v>
      </c>
      <c r="K1118" s="840">
        <v>-2948676</v>
      </c>
      <c r="L1118" s="841">
        <v>16968754</v>
      </c>
      <c r="M1118" s="840">
        <v>9358304</v>
      </c>
      <c r="N1118" s="839">
        <f>Indicadores[[#This Row],[Ventas]]/Indicadores[[#This Row],[Activos totales]]</f>
        <v>0.55150213150594318</v>
      </c>
      <c r="O1118" s="837">
        <f>IF(Indicadores[[#This Row],[Ventas]]=0,0,Indicadores[[#This Row],[EBITDA]]/Indicadores[[#This Row],[Ventas]])</f>
        <v>-0.31508657979052612</v>
      </c>
      <c r="P1118" s="837">
        <f>IF(Indicadores[[#This Row],[Ventas]]=0,0,Indicadores[[#This Row],[UAI]]/Indicadores[[#This Row],[Ventas]])</f>
        <v>-0.35439113753945162</v>
      </c>
      <c r="Q1118" s="837">
        <f>IFERROR(Indicadores[[#This Row],[Ventas]]/Indicadores[[#This Row],[Activos totales]],0)</f>
        <v>0.55150213150594318</v>
      </c>
    </row>
    <row r="1119" spans="1:17" hidden="1" x14ac:dyDescent="0.3">
      <c r="A1119" s="13" t="str">
        <f>MID(Indicadores[[#This Row],[CIIU]],2,4)</f>
        <v>5111</v>
      </c>
      <c r="B1119" s="13" t="str">
        <f>Indicadores[[#This Row],[CIIU]]&amp;Indicadores[[#This Row],[Año]]</f>
        <v>H51112018</v>
      </c>
      <c r="C1119" s="845" t="s">
        <v>2979</v>
      </c>
      <c r="D1119" s="845" t="s">
        <v>3009</v>
      </c>
      <c r="E1119" s="843">
        <v>2018</v>
      </c>
      <c r="F1119" s="844" t="s">
        <v>3010</v>
      </c>
      <c r="G1119" s="842" t="s">
        <v>3011</v>
      </c>
      <c r="H1119" s="843" t="s">
        <v>3012</v>
      </c>
      <c r="I1119" s="842" t="s">
        <v>3013</v>
      </c>
      <c r="J1119" s="840">
        <v>252624</v>
      </c>
      <c r="K1119" s="840">
        <v>281257</v>
      </c>
      <c r="L1119" s="841">
        <v>24594700</v>
      </c>
      <c r="M1119" s="840">
        <v>6050168</v>
      </c>
      <c r="N1119" s="839">
        <f>Indicadores[[#This Row],[Ventas]]/Indicadores[[#This Row],[Activos totales]]</f>
        <v>0.24599478749486678</v>
      </c>
      <c r="O1119" s="837">
        <f>IF(Indicadores[[#This Row],[Ventas]]=0,0,Indicadores[[#This Row],[EBITDA]]/Indicadores[[#This Row],[Ventas]])</f>
        <v>4.648746943886517E-2</v>
      </c>
      <c r="P1119" s="837">
        <f>IF(Indicadores[[#This Row],[Ventas]]=0,0,Indicadores[[#This Row],[UAI]]/Indicadores[[#This Row],[Ventas]])</f>
        <v>4.1754873583675696E-2</v>
      </c>
      <c r="Q1119" s="837">
        <f>IFERROR(Indicadores[[#This Row],[Ventas]]/Indicadores[[#This Row],[Activos totales]],0)</f>
        <v>0.24599478749486678</v>
      </c>
    </row>
    <row r="1120" spans="1:17" hidden="1" x14ac:dyDescent="0.3">
      <c r="A1120" s="13" t="str">
        <f>MID(Indicadores[[#This Row],[CIIU]],2,4)</f>
        <v>5121</v>
      </c>
      <c r="B1120" s="13" t="str">
        <f>Indicadores[[#This Row],[CIIU]]&amp;Indicadores[[#This Row],[Año]]</f>
        <v>H51212018</v>
      </c>
      <c r="C1120" s="845" t="s">
        <v>2979</v>
      </c>
      <c r="D1120" s="845" t="s">
        <v>3009</v>
      </c>
      <c r="E1120" s="843">
        <v>2018</v>
      </c>
      <c r="F1120" s="844" t="s">
        <v>3014</v>
      </c>
      <c r="G1120" s="842" t="s">
        <v>3015</v>
      </c>
      <c r="H1120" s="843" t="s">
        <v>3016</v>
      </c>
      <c r="I1120" s="842" t="s">
        <v>3017</v>
      </c>
      <c r="J1120" s="840">
        <v>1009040</v>
      </c>
      <c r="K1120" s="840">
        <v>1244839</v>
      </c>
      <c r="L1120" s="841">
        <v>24366641</v>
      </c>
      <c r="M1120" s="840">
        <v>11674309</v>
      </c>
      <c r="N1120" s="839">
        <f>Indicadores[[#This Row],[Ventas]]/Indicadores[[#This Row],[Activos totales]]</f>
        <v>0.47911031315313424</v>
      </c>
      <c r="O1120" s="837">
        <f>IF(Indicadores[[#This Row],[Ventas]]=0,0,Indicadores[[#This Row],[EBITDA]]/Indicadores[[#This Row],[Ventas]])</f>
        <v>0.10663063655416351</v>
      </c>
      <c r="P1120" s="837">
        <f>IF(Indicadores[[#This Row],[Ventas]]=0,0,Indicadores[[#This Row],[UAI]]/Indicadores[[#This Row],[Ventas]])</f>
        <v>8.6432524614518946E-2</v>
      </c>
      <c r="Q1120" s="837">
        <f>IFERROR(Indicadores[[#This Row],[Ventas]]/Indicadores[[#This Row],[Activos totales]],0)</f>
        <v>0.47911031315313424</v>
      </c>
    </row>
    <row r="1121" spans="1:17" hidden="1" x14ac:dyDescent="0.3">
      <c r="A1121" s="13" t="str">
        <f>MID(Indicadores[[#This Row],[CIIU]],2,4)</f>
        <v>5122</v>
      </c>
      <c r="B1121" s="13" t="str">
        <f>Indicadores[[#This Row],[CIIU]]&amp;Indicadores[[#This Row],[Año]]</f>
        <v>H51222018</v>
      </c>
      <c r="C1121" s="845" t="s">
        <v>2979</v>
      </c>
      <c r="D1121" s="845" t="s">
        <v>3009</v>
      </c>
      <c r="E1121" s="843">
        <v>2018</v>
      </c>
      <c r="F1121" s="844" t="s">
        <v>3018</v>
      </c>
      <c r="G1121" s="842" t="s">
        <v>3019</v>
      </c>
      <c r="H1121" s="843" t="s">
        <v>3020</v>
      </c>
      <c r="I1121" s="842" t="s">
        <v>3021</v>
      </c>
      <c r="J1121" s="840">
        <v>1652228</v>
      </c>
      <c r="K1121" s="840">
        <v>2259579</v>
      </c>
      <c r="L1121" s="841">
        <v>14621683</v>
      </c>
      <c r="M1121" s="840">
        <v>30155382</v>
      </c>
      <c r="N1121" s="839">
        <f>Indicadores[[#This Row],[Ventas]]/Indicadores[[#This Row],[Activos totales]]</f>
        <v>2.0623742150612894</v>
      </c>
      <c r="O1121" s="837">
        <f>IF(Indicadores[[#This Row],[Ventas]]=0,0,Indicadores[[#This Row],[EBITDA]]/Indicadores[[#This Row],[Ventas]])</f>
        <v>7.4931201335801348E-2</v>
      </c>
      <c r="P1121" s="837">
        <f>IF(Indicadores[[#This Row],[Ventas]]=0,0,Indicadores[[#This Row],[UAI]]/Indicadores[[#This Row],[Ventas]])</f>
        <v>5.4790484829540548E-2</v>
      </c>
      <c r="Q1121" s="837">
        <f>IFERROR(Indicadores[[#This Row],[Ventas]]/Indicadores[[#This Row],[Activos totales]],0)</f>
        <v>2.0623742150612894</v>
      </c>
    </row>
    <row r="1122" spans="1:17" hidden="1" x14ac:dyDescent="0.3">
      <c r="A1122" s="13" t="str">
        <f>MID(Indicadores[[#This Row],[CIIU]],2,4)</f>
        <v>5210</v>
      </c>
      <c r="B1122" s="13" t="str">
        <f>Indicadores[[#This Row],[CIIU]]&amp;Indicadores[[#This Row],[Año]]</f>
        <v>H52102018</v>
      </c>
      <c r="C1122" s="845" t="s">
        <v>2979</v>
      </c>
      <c r="D1122" s="845" t="s">
        <v>3022</v>
      </c>
      <c r="E1122" s="843">
        <v>2018</v>
      </c>
      <c r="F1122" s="844" t="s">
        <v>3023</v>
      </c>
      <c r="G1122" s="842" t="s">
        <v>3024</v>
      </c>
      <c r="H1122" s="843" t="s">
        <v>3025</v>
      </c>
      <c r="I1122" s="842" t="s">
        <v>3024</v>
      </c>
      <c r="J1122" s="840">
        <v>64034378</v>
      </c>
      <c r="K1122" s="840">
        <v>89826717</v>
      </c>
      <c r="L1122" s="841">
        <v>1461301527</v>
      </c>
      <c r="M1122" s="840">
        <v>812995300</v>
      </c>
      <c r="N1122" s="839">
        <f>Indicadores[[#This Row],[Ventas]]/Indicadores[[#This Row],[Activos totales]]</f>
        <v>0.55635013375305942</v>
      </c>
      <c r="O1122" s="837">
        <f>IF(Indicadores[[#This Row],[Ventas]]=0,0,Indicadores[[#This Row],[EBITDA]]/Indicadores[[#This Row],[Ventas]])</f>
        <v>0.11048860553068388</v>
      </c>
      <c r="P1122" s="837">
        <f>IF(Indicadores[[#This Row],[Ventas]]=0,0,Indicadores[[#This Row],[UAI]]/Indicadores[[#This Row],[Ventas]])</f>
        <v>7.8763527907233899E-2</v>
      </c>
      <c r="Q1122" s="837">
        <f>IFERROR(Indicadores[[#This Row],[Ventas]]/Indicadores[[#This Row],[Activos totales]],0)</f>
        <v>0.55635013375305942</v>
      </c>
    </row>
    <row r="1123" spans="1:17" hidden="1" x14ac:dyDescent="0.3">
      <c r="A1123" s="13" t="str">
        <f>MID(Indicadores[[#This Row],[CIIU]],2,4)</f>
        <v>5221</v>
      </c>
      <c r="B1123" s="13" t="str">
        <f>Indicadores[[#This Row],[CIIU]]&amp;Indicadores[[#This Row],[Año]]</f>
        <v>H52212018</v>
      </c>
      <c r="C1123" s="845" t="s">
        <v>2979</v>
      </c>
      <c r="D1123" s="845" t="s">
        <v>3022</v>
      </c>
      <c r="E1123" s="843">
        <v>2018</v>
      </c>
      <c r="F1123" s="844" t="s">
        <v>3026</v>
      </c>
      <c r="G1123" s="842" t="s">
        <v>3027</v>
      </c>
      <c r="H1123" s="843" t="s">
        <v>3028</v>
      </c>
      <c r="I1123" s="842" t="s">
        <v>3027</v>
      </c>
      <c r="J1123" s="840">
        <v>34117087</v>
      </c>
      <c r="K1123" s="840">
        <v>60376024</v>
      </c>
      <c r="L1123" s="841">
        <v>518745430</v>
      </c>
      <c r="M1123" s="840">
        <v>303231349</v>
      </c>
      <c r="N1123" s="839">
        <f>Indicadores[[#This Row],[Ventas]]/Indicadores[[#This Row],[Activos totales]]</f>
        <v>0.58454750917034581</v>
      </c>
      <c r="O1123" s="837">
        <f>IF(Indicadores[[#This Row],[Ventas]]=0,0,Indicadores[[#This Row],[EBITDA]]/Indicadores[[#This Row],[Ventas]])</f>
        <v>0.19910878014133032</v>
      </c>
      <c r="P1123" s="837">
        <f>IF(Indicadores[[#This Row],[Ventas]]=0,0,Indicadores[[#This Row],[UAI]]/Indicadores[[#This Row],[Ventas]])</f>
        <v>0.11251174099416746</v>
      </c>
      <c r="Q1123" s="837">
        <f>IFERROR(Indicadores[[#This Row],[Ventas]]/Indicadores[[#This Row],[Activos totales]],0)</f>
        <v>0.58454750917034581</v>
      </c>
    </row>
    <row r="1124" spans="1:17" hidden="1" x14ac:dyDescent="0.3">
      <c r="A1124" s="13" t="str">
        <f>MID(Indicadores[[#This Row],[CIIU]],2,4)</f>
        <v>5222</v>
      </c>
      <c r="B1124" s="13" t="str">
        <f>Indicadores[[#This Row],[CIIU]]&amp;Indicadores[[#This Row],[Año]]</f>
        <v>H52222018</v>
      </c>
      <c r="C1124" s="845" t="s">
        <v>2979</v>
      </c>
      <c r="D1124" s="845" t="s">
        <v>3022</v>
      </c>
      <c r="E1124" s="843">
        <v>2018</v>
      </c>
      <c r="F1124" s="844" t="s">
        <v>3029</v>
      </c>
      <c r="G1124" s="842" t="s">
        <v>3030</v>
      </c>
      <c r="H1124" s="843" t="s">
        <v>3031</v>
      </c>
      <c r="I1124" s="842" t="s">
        <v>3030</v>
      </c>
      <c r="J1124" s="840">
        <v>-1257293</v>
      </c>
      <c r="K1124" s="840">
        <v>-1485811</v>
      </c>
      <c r="L1124" s="841">
        <v>165193864</v>
      </c>
      <c r="M1124" s="840">
        <v>25574140</v>
      </c>
      <c r="N1124" s="839">
        <f>Indicadores[[#This Row],[Ventas]]/Indicadores[[#This Row],[Activos totales]]</f>
        <v>0.15481289305031329</v>
      </c>
      <c r="O1124" s="837">
        <f>IF(Indicadores[[#This Row],[Ventas]]=0,0,Indicadores[[#This Row],[EBITDA]]/Indicadores[[#This Row],[Ventas]])</f>
        <v>-5.8098180427572539E-2</v>
      </c>
      <c r="P1124" s="837">
        <f>IF(Indicadores[[#This Row],[Ventas]]=0,0,Indicadores[[#This Row],[UAI]]/Indicadores[[#This Row],[Ventas]])</f>
        <v>-4.9162669790655714E-2</v>
      </c>
      <c r="Q1124" s="837">
        <f>IFERROR(Indicadores[[#This Row],[Ventas]]/Indicadores[[#This Row],[Activos totales]],0)</f>
        <v>0.15481289305031329</v>
      </c>
    </row>
    <row r="1125" spans="1:17" hidden="1" x14ac:dyDescent="0.3">
      <c r="A1125" s="13" t="str">
        <f>MID(Indicadores[[#This Row],[CIIU]],2,4)</f>
        <v>5223</v>
      </c>
      <c r="B1125" s="13" t="str">
        <f>Indicadores[[#This Row],[CIIU]]&amp;Indicadores[[#This Row],[Año]]</f>
        <v>H52232018</v>
      </c>
      <c r="C1125" s="845" t="s">
        <v>2979</v>
      </c>
      <c r="D1125" s="845" t="s">
        <v>3022</v>
      </c>
      <c r="E1125" s="843">
        <v>2018</v>
      </c>
      <c r="F1125" s="844" t="s">
        <v>3032</v>
      </c>
      <c r="G1125" s="842" t="s">
        <v>3033</v>
      </c>
      <c r="H1125" s="843" t="s">
        <v>3034</v>
      </c>
      <c r="I1125" s="842" t="s">
        <v>3033</v>
      </c>
      <c r="J1125" s="840">
        <v>45955728</v>
      </c>
      <c r="K1125" s="840">
        <v>58758309</v>
      </c>
      <c r="L1125" s="841">
        <v>443942135</v>
      </c>
      <c r="M1125" s="840">
        <v>394451477</v>
      </c>
      <c r="N1125" s="839">
        <f>Indicadores[[#This Row],[Ventas]]/Indicadores[[#This Row],[Activos totales]]</f>
        <v>0.88852002525058815</v>
      </c>
      <c r="O1125" s="837">
        <f>IF(Indicadores[[#This Row],[Ventas]]=0,0,Indicadores[[#This Row],[EBITDA]]/Indicadores[[#This Row],[Ventas]])</f>
        <v>0.14896207119538812</v>
      </c>
      <c r="P1125" s="837">
        <f>IF(Indicadores[[#This Row],[Ventas]]=0,0,Indicadores[[#This Row],[UAI]]/Indicadores[[#This Row],[Ventas]])</f>
        <v>0.1165054022601619</v>
      </c>
      <c r="Q1125" s="837">
        <f>IFERROR(Indicadores[[#This Row],[Ventas]]/Indicadores[[#This Row],[Activos totales]],0)</f>
        <v>0.88852002525058815</v>
      </c>
    </row>
    <row r="1126" spans="1:17" hidden="1" x14ac:dyDescent="0.3">
      <c r="A1126" s="13" t="str">
        <f>MID(Indicadores[[#This Row],[CIIU]],2,4)</f>
        <v>5224</v>
      </c>
      <c r="B1126" s="13" t="str">
        <f>Indicadores[[#This Row],[CIIU]]&amp;Indicadores[[#This Row],[Año]]</f>
        <v>H52242018</v>
      </c>
      <c r="C1126" s="845" t="s">
        <v>2979</v>
      </c>
      <c r="D1126" s="845" t="s">
        <v>3022</v>
      </c>
      <c r="E1126" s="843">
        <v>2018</v>
      </c>
      <c r="F1126" s="844" t="s">
        <v>3035</v>
      </c>
      <c r="G1126" s="842" t="s">
        <v>3036</v>
      </c>
      <c r="H1126" s="843" t="s">
        <v>3037</v>
      </c>
      <c r="I1126" s="842" t="s">
        <v>3036</v>
      </c>
      <c r="J1126" s="840">
        <v>18203519</v>
      </c>
      <c r="K1126" s="840">
        <v>24447437</v>
      </c>
      <c r="L1126" s="841">
        <v>759753065</v>
      </c>
      <c r="M1126" s="840">
        <v>449718757</v>
      </c>
      <c r="N1126" s="839">
        <f>Indicadores[[#This Row],[Ventas]]/Indicadores[[#This Row],[Activos totales]]</f>
        <v>0.59192753240159679</v>
      </c>
      <c r="O1126" s="837">
        <f>IF(Indicadores[[#This Row],[Ventas]]=0,0,Indicadores[[#This Row],[EBITDA]]/Indicadores[[#This Row],[Ventas]])</f>
        <v>5.4361612940240341E-2</v>
      </c>
      <c r="P1126" s="837">
        <f>IF(Indicadores[[#This Row],[Ventas]]=0,0,Indicadores[[#This Row],[UAI]]/Indicadores[[#This Row],[Ventas]])</f>
        <v>4.047756229122549E-2</v>
      </c>
      <c r="Q1126" s="837">
        <f>IFERROR(Indicadores[[#This Row],[Ventas]]/Indicadores[[#This Row],[Activos totales]],0)</f>
        <v>0.59192753240159679</v>
      </c>
    </row>
    <row r="1127" spans="1:17" hidden="1" x14ac:dyDescent="0.3">
      <c r="A1127" s="13" t="str">
        <f>MID(Indicadores[[#This Row],[CIIU]],2,4)</f>
        <v>5229</v>
      </c>
      <c r="B1127" s="13" t="str">
        <f>Indicadores[[#This Row],[CIIU]]&amp;Indicadores[[#This Row],[Año]]</f>
        <v>H52292018</v>
      </c>
      <c r="C1127" s="845" t="s">
        <v>2979</v>
      </c>
      <c r="D1127" s="845" t="s">
        <v>3022</v>
      </c>
      <c r="E1127" s="843">
        <v>2018</v>
      </c>
      <c r="F1127" s="844" t="s">
        <v>3038</v>
      </c>
      <c r="G1127" s="842" t="s">
        <v>3039</v>
      </c>
      <c r="H1127" s="843" t="s">
        <v>3040</v>
      </c>
      <c r="I1127" s="842" t="s">
        <v>3039</v>
      </c>
      <c r="J1127" s="840">
        <v>170774647</v>
      </c>
      <c r="K1127" s="840">
        <v>235377744</v>
      </c>
      <c r="L1127" s="841">
        <v>2490094831</v>
      </c>
      <c r="M1127" s="840">
        <v>2790526102</v>
      </c>
      <c r="N1127" s="839">
        <f>Indicadores[[#This Row],[Ventas]]/Indicadores[[#This Row],[Activos totales]]</f>
        <v>1.1206505339715715</v>
      </c>
      <c r="O1127" s="837">
        <f>IF(Indicadores[[#This Row],[Ventas]]=0,0,Indicadores[[#This Row],[EBITDA]]/Indicadores[[#This Row],[Ventas]])</f>
        <v>8.4348877378821949E-2</v>
      </c>
      <c r="P1127" s="837">
        <f>IF(Indicadores[[#This Row],[Ventas]]=0,0,Indicadores[[#This Row],[UAI]]/Indicadores[[#This Row],[Ventas]])</f>
        <v>6.1198010969187484E-2</v>
      </c>
      <c r="Q1127" s="837">
        <f>IFERROR(Indicadores[[#This Row],[Ventas]]/Indicadores[[#This Row],[Activos totales]],0)</f>
        <v>1.1206505339715715</v>
      </c>
    </row>
    <row r="1128" spans="1:17" hidden="1" x14ac:dyDescent="0.3">
      <c r="A1128" s="13" t="str">
        <f>MID(Indicadores[[#This Row],[CIIU]],2,4)</f>
        <v>5310</v>
      </c>
      <c r="B1128" s="13" t="str">
        <f>Indicadores[[#This Row],[CIIU]]&amp;Indicadores[[#This Row],[Año]]</f>
        <v>H53102018</v>
      </c>
      <c r="C1128" s="845" t="s">
        <v>2979</v>
      </c>
      <c r="D1128" s="845" t="s">
        <v>3041</v>
      </c>
      <c r="E1128" s="843">
        <v>2018</v>
      </c>
      <c r="F1128" s="844" t="s">
        <v>3042</v>
      </c>
      <c r="G1128" s="842" t="s">
        <v>3043</v>
      </c>
      <c r="H1128" s="843" t="s">
        <v>3044</v>
      </c>
      <c r="I1128" s="842" t="s">
        <v>3043</v>
      </c>
      <c r="J1128" s="840">
        <v>12135149</v>
      </c>
      <c r="K1128" s="840">
        <v>12717187</v>
      </c>
      <c r="L1128" s="841">
        <v>130147555</v>
      </c>
      <c r="M1128" s="840">
        <v>83552145</v>
      </c>
      <c r="N1128" s="839">
        <f>Indicadores[[#This Row],[Ventas]]/Indicadores[[#This Row],[Activos totales]]</f>
        <v>0.64198013554691824</v>
      </c>
      <c r="O1128" s="837">
        <f>IF(Indicadores[[#This Row],[Ventas]]=0,0,Indicadores[[#This Row],[EBITDA]]/Indicadores[[#This Row],[Ventas]])</f>
        <v>0.15220658907081319</v>
      </c>
      <c r="P1128" s="837">
        <f>IF(Indicadores[[#This Row],[Ventas]]=0,0,Indicadores[[#This Row],[UAI]]/Indicadores[[#This Row],[Ventas]])</f>
        <v>0.14524042440801491</v>
      </c>
      <c r="Q1128" s="837">
        <f>IFERROR(Indicadores[[#This Row],[Ventas]]/Indicadores[[#This Row],[Activos totales]],0)</f>
        <v>0.64198013554691824</v>
      </c>
    </row>
    <row r="1129" spans="1:17" hidden="1" x14ac:dyDescent="0.3">
      <c r="A1129" s="13" t="str">
        <f>MID(Indicadores[[#This Row],[CIIU]],2,4)</f>
        <v>5320</v>
      </c>
      <c r="B1129" s="13" t="str">
        <f>Indicadores[[#This Row],[CIIU]]&amp;Indicadores[[#This Row],[Año]]</f>
        <v>H53202018</v>
      </c>
      <c r="C1129" s="845" t="s">
        <v>2979</v>
      </c>
      <c r="D1129" s="845" t="s">
        <v>3041</v>
      </c>
      <c r="E1129" s="843">
        <v>2018</v>
      </c>
      <c r="F1129" s="844" t="s">
        <v>3045</v>
      </c>
      <c r="G1129" s="842" t="s">
        <v>3046</v>
      </c>
      <c r="H1129" s="843" t="s">
        <v>3047</v>
      </c>
      <c r="I1129" s="842" t="s">
        <v>3046</v>
      </c>
      <c r="J1129" s="840">
        <v>7564210</v>
      </c>
      <c r="K1129" s="840">
        <v>10076989</v>
      </c>
      <c r="L1129" s="841">
        <v>173758578</v>
      </c>
      <c r="M1129" s="840">
        <v>259642403</v>
      </c>
      <c r="N1129" s="839">
        <f>Indicadores[[#This Row],[Ventas]]/Indicadores[[#This Row],[Activos totales]]</f>
        <v>1.4942709936311749</v>
      </c>
      <c r="O1129" s="837">
        <f>IF(Indicadores[[#This Row],[Ventas]]=0,0,Indicadores[[#This Row],[EBITDA]]/Indicadores[[#This Row],[Ventas]])</f>
        <v>3.8811029645261758E-2</v>
      </c>
      <c r="P1129" s="837">
        <f>IF(Indicadores[[#This Row],[Ventas]]=0,0,Indicadores[[#This Row],[UAI]]/Indicadores[[#This Row],[Ventas]])</f>
        <v>2.9133184382059505E-2</v>
      </c>
      <c r="Q1129" s="837">
        <f>IFERROR(Indicadores[[#This Row],[Ventas]]/Indicadores[[#This Row],[Activos totales]],0)</f>
        <v>1.4942709936311749</v>
      </c>
    </row>
    <row r="1130" spans="1:17" hidden="1" x14ac:dyDescent="0.3">
      <c r="A1130" s="13" t="str">
        <f>MID(Indicadores[[#This Row],[CIIU]],2,4)</f>
        <v>5511</v>
      </c>
      <c r="B1130" s="13" t="str">
        <f>Indicadores[[#This Row],[CIIU]]&amp;Indicadores[[#This Row],[Año]]</f>
        <v>I55112018</v>
      </c>
      <c r="C1130" s="845" t="s">
        <v>3048</v>
      </c>
      <c r="D1130" s="845" t="s">
        <v>3049</v>
      </c>
      <c r="E1130" s="843">
        <v>2018</v>
      </c>
      <c r="F1130" s="844" t="s">
        <v>3050</v>
      </c>
      <c r="G1130" s="842" t="s">
        <v>3051</v>
      </c>
      <c r="H1130" s="843" t="s">
        <v>3052</v>
      </c>
      <c r="I1130" s="842" t="s">
        <v>3053</v>
      </c>
      <c r="J1130" s="840">
        <v>-13011292</v>
      </c>
      <c r="K1130" s="840">
        <v>128401368</v>
      </c>
      <c r="L1130" s="841">
        <v>9704231127</v>
      </c>
      <c r="M1130" s="840">
        <v>2699983154</v>
      </c>
      <c r="N1130" s="839">
        <f>Indicadores[[#This Row],[Ventas]]/Indicadores[[#This Row],[Activos totales]]</f>
        <v>0.27822741633676262</v>
      </c>
      <c r="O1130" s="837">
        <f>IF(Indicadores[[#This Row],[Ventas]]=0,0,Indicadores[[#This Row],[EBITDA]]/Indicadores[[#This Row],[Ventas]])</f>
        <v>4.7556358938675068E-2</v>
      </c>
      <c r="P1130" s="837">
        <f>IF(Indicadores[[#This Row],[Ventas]]=0,0,Indicadores[[#This Row],[UAI]]/Indicadores[[#This Row],[Ventas]])</f>
        <v>-4.8190271041965178E-3</v>
      </c>
      <c r="Q1130" s="837">
        <f>IFERROR(Indicadores[[#This Row],[Ventas]]/Indicadores[[#This Row],[Activos totales]],0)</f>
        <v>0.27822741633676262</v>
      </c>
    </row>
    <row r="1131" spans="1:17" hidden="1" x14ac:dyDescent="0.3">
      <c r="A1131" s="13" t="str">
        <f>MID(Indicadores[[#This Row],[CIIU]],2,4)</f>
        <v>5512</v>
      </c>
      <c r="B1131" s="13" t="str">
        <f>Indicadores[[#This Row],[CIIU]]&amp;Indicadores[[#This Row],[Año]]</f>
        <v>I55122018</v>
      </c>
      <c r="C1131" s="845" t="s">
        <v>3048</v>
      </c>
      <c r="D1131" s="845" t="s">
        <v>3049</v>
      </c>
      <c r="E1131" s="843">
        <v>2018</v>
      </c>
      <c r="F1131" s="844" t="s">
        <v>3054</v>
      </c>
      <c r="G1131" s="842" t="s">
        <v>3055</v>
      </c>
      <c r="H1131" s="843" t="s">
        <v>3056</v>
      </c>
      <c r="I1131" s="842" t="s">
        <v>3055</v>
      </c>
      <c r="J1131" s="840">
        <v>719065</v>
      </c>
      <c r="K1131" s="840">
        <v>1392674</v>
      </c>
      <c r="L1131" s="841">
        <v>83374987</v>
      </c>
      <c r="M1131" s="840">
        <v>24198005</v>
      </c>
      <c r="N1131" s="839">
        <f>Indicadores[[#This Row],[Ventas]]/Indicadores[[#This Row],[Activos totales]]</f>
        <v>0.29023098978114381</v>
      </c>
      <c r="O1131" s="837">
        <f>IF(Indicadores[[#This Row],[Ventas]]=0,0,Indicadores[[#This Row],[EBITDA]]/Indicadores[[#This Row],[Ventas]])</f>
        <v>5.7553256973043851E-2</v>
      </c>
      <c r="P1131" s="837">
        <f>IF(Indicadores[[#This Row],[Ventas]]=0,0,Indicadores[[#This Row],[UAI]]/Indicadores[[#This Row],[Ventas]])</f>
        <v>2.9715879470229054E-2</v>
      </c>
      <c r="Q1131" s="837">
        <f>IFERROR(Indicadores[[#This Row],[Ventas]]/Indicadores[[#This Row],[Activos totales]],0)</f>
        <v>0.29023098978114381</v>
      </c>
    </row>
    <row r="1132" spans="1:17" hidden="1" x14ac:dyDescent="0.3">
      <c r="A1132" s="13" t="str">
        <f>MID(Indicadores[[#This Row],[CIIU]],2,4)</f>
        <v>5513</v>
      </c>
      <c r="B1132" s="13" t="str">
        <f>Indicadores[[#This Row],[CIIU]]&amp;Indicadores[[#This Row],[Año]]</f>
        <v>I55132018</v>
      </c>
      <c r="C1132" s="845" t="s">
        <v>3048</v>
      </c>
      <c r="D1132" s="845" t="s">
        <v>3049</v>
      </c>
      <c r="E1132" s="843">
        <v>2018</v>
      </c>
      <c r="F1132" s="844" t="s">
        <v>3057</v>
      </c>
      <c r="G1132" s="842" t="s">
        <v>3058</v>
      </c>
      <c r="H1132" s="843" t="s">
        <v>3059</v>
      </c>
      <c r="I1132" s="842" t="s">
        <v>3060</v>
      </c>
      <c r="J1132" s="840">
        <v>-478998</v>
      </c>
      <c r="K1132" s="840">
        <v>-317902</v>
      </c>
      <c r="L1132" s="841">
        <v>8849618</v>
      </c>
      <c r="M1132" s="840">
        <v>2940548</v>
      </c>
      <c r="N1132" s="839">
        <f>Indicadores[[#This Row],[Ventas]]/Indicadores[[#This Row],[Activos totales]]</f>
        <v>0.33227965320085001</v>
      </c>
      <c r="O1132" s="837">
        <f>IF(Indicadores[[#This Row],[Ventas]]=0,0,Indicadores[[#This Row],[EBITDA]]/Indicadores[[#This Row],[Ventas]])</f>
        <v>-0.10810978089798227</v>
      </c>
      <c r="P1132" s="837">
        <f>IF(Indicadores[[#This Row],[Ventas]]=0,0,Indicadores[[#This Row],[UAI]]/Indicadores[[#This Row],[Ventas]])</f>
        <v>-0.16289412721710375</v>
      </c>
      <c r="Q1132" s="837">
        <f>IFERROR(Indicadores[[#This Row],[Ventas]]/Indicadores[[#This Row],[Activos totales]],0)</f>
        <v>0.33227965320085001</v>
      </c>
    </row>
    <row r="1133" spans="1:17" hidden="1" x14ac:dyDescent="0.3">
      <c r="A1133" s="13" t="str">
        <f>MID(Indicadores[[#This Row],[CIIU]],2,4)</f>
        <v>5519</v>
      </c>
      <c r="B1133" s="13" t="str">
        <f>Indicadores[[#This Row],[CIIU]]&amp;Indicadores[[#This Row],[Año]]</f>
        <v>I55192018</v>
      </c>
      <c r="C1133" s="845" t="s">
        <v>3048</v>
      </c>
      <c r="D1133" s="845" t="s">
        <v>3049</v>
      </c>
      <c r="E1133" s="843">
        <v>2018</v>
      </c>
      <c r="F1133" s="844" t="s">
        <v>3061</v>
      </c>
      <c r="G1133" s="842" t="s">
        <v>3062</v>
      </c>
      <c r="H1133" s="843" t="s">
        <v>3063</v>
      </c>
      <c r="I1133" s="842" t="s">
        <v>3062</v>
      </c>
      <c r="J1133" s="840">
        <v>123984</v>
      </c>
      <c r="K1133" s="840">
        <v>301838</v>
      </c>
      <c r="L1133" s="841">
        <v>9175460</v>
      </c>
      <c r="M1133" s="840">
        <v>734179</v>
      </c>
      <c r="N1133" s="839">
        <f>Indicadores[[#This Row],[Ventas]]/Indicadores[[#This Row],[Activos totales]]</f>
        <v>8.0015497860597723E-2</v>
      </c>
      <c r="O1133" s="837">
        <f>IF(Indicadores[[#This Row],[Ventas]]=0,0,Indicadores[[#This Row],[EBITDA]]/Indicadores[[#This Row],[Ventas]])</f>
        <v>0.41112317295918299</v>
      </c>
      <c r="P1133" s="837">
        <f>IF(Indicadores[[#This Row],[Ventas]]=0,0,Indicadores[[#This Row],[UAI]]/Indicadores[[#This Row],[Ventas]])</f>
        <v>0.1688743480813262</v>
      </c>
      <c r="Q1133" s="837">
        <f>IFERROR(Indicadores[[#This Row],[Ventas]]/Indicadores[[#This Row],[Activos totales]],0)</f>
        <v>8.0015497860597723E-2</v>
      </c>
    </row>
    <row r="1134" spans="1:17" hidden="1" x14ac:dyDescent="0.3">
      <c r="A1134" s="13" t="str">
        <f>MID(Indicadores[[#This Row],[CIIU]],2,4)</f>
        <v>5520</v>
      </c>
      <c r="B1134" s="13" t="str">
        <f>Indicadores[[#This Row],[CIIU]]&amp;Indicadores[[#This Row],[Año]]</f>
        <v>I55202018</v>
      </c>
      <c r="C1134" s="845" t="s">
        <v>3048</v>
      </c>
      <c r="D1134" s="845" t="s">
        <v>3049</v>
      </c>
      <c r="E1134" s="843">
        <v>2018</v>
      </c>
      <c r="F1134" s="844" t="s">
        <v>3570</v>
      </c>
      <c r="G1134" s="842" t="s">
        <v>3571</v>
      </c>
      <c r="H1134" s="843" t="s">
        <v>3572</v>
      </c>
      <c r="I1134" s="842" t="s">
        <v>3571</v>
      </c>
      <c r="J1134" s="840">
        <v>1247865</v>
      </c>
      <c r="K1134" s="840">
        <v>1721932</v>
      </c>
      <c r="L1134" s="841">
        <v>15932671</v>
      </c>
      <c r="M1134" s="840">
        <v>10779894</v>
      </c>
      <c r="N1134" s="839">
        <f>Indicadores[[#This Row],[Ventas]]/Indicadores[[#This Row],[Activos totales]]</f>
        <v>0.67659051015363336</v>
      </c>
      <c r="O1134" s="837">
        <f>IF(Indicadores[[#This Row],[Ventas]]=0,0,Indicadores[[#This Row],[EBITDA]]/Indicadores[[#This Row],[Ventas]])</f>
        <v>0.15973552244576802</v>
      </c>
      <c r="P1134" s="837">
        <f>IF(Indicadores[[#This Row],[Ventas]]=0,0,Indicadores[[#This Row],[UAI]]/Indicadores[[#This Row],[Ventas]])</f>
        <v>0.11575855940698489</v>
      </c>
      <c r="Q1134" s="837">
        <f>IFERROR(Indicadores[[#This Row],[Ventas]]/Indicadores[[#This Row],[Activos totales]],0)</f>
        <v>0.67659051015363336</v>
      </c>
    </row>
    <row r="1135" spans="1:17" hidden="1" x14ac:dyDescent="0.3">
      <c r="A1135" s="13" t="str">
        <f>MID(Indicadores[[#This Row],[CIIU]],2,4)</f>
        <v>5530</v>
      </c>
      <c r="B1135" s="13" t="str">
        <f>Indicadores[[#This Row],[CIIU]]&amp;Indicadores[[#This Row],[Año]]</f>
        <v>I55302018</v>
      </c>
      <c r="C1135" s="845" t="s">
        <v>3048</v>
      </c>
      <c r="D1135" s="845" t="s">
        <v>3049</v>
      </c>
      <c r="E1135" s="843">
        <v>2018</v>
      </c>
      <c r="F1135" s="844" t="s">
        <v>3064</v>
      </c>
      <c r="G1135" s="842" t="s">
        <v>3065</v>
      </c>
      <c r="H1135" s="843" t="s">
        <v>3066</v>
      </c>
      <c r="I1135" s="842" t="s">
        <v>3067</v>
      </c>
      <c r="J1135" s="840">
        <v>-112328</v>
      </c>
      <c r="K1135" s="840">
        <v>794664</v>
      </c>
      <c r="L1135" s="841">
        <v>38347937</v>
      </c>
      <c r="M1135" s="840">
        <v>5985065</v>
      </c>
      <c r="N1135" s="839">
        <f>Indicadores[[#This Row],[Ventas]]/Indicadores[[#This Row],[Activos totales]]</f>
        <v>0.15607267217529849</v>
      </c>
      <c r="O1135" s="837">
        <f>IF(Indicadores[[#This Row],[Ventas]]=0,0,Indicadores[[#This Row],[EBITDA]]/Indicadores[[#This Row],[Ventas]])</f>
        <v>0.1327744978542422</v>
      </c>
      <c r="P1135" s="837">
        <f>IF(Indicadores[[#This Row],[Ventas]]=0,0,Indicadores[[#This Row],[UAI]]/Indicadores[[#This Row],[Ventas]])</f>
        <v>-1.8768050138135508E-2</v>
      </c>
      <c r="Q1135" s="837">
        <f>IFERROR(Indicadores[[#This Row],[Ventas]]/Indicadores[[#This Row],[Activos totales]],0)</f>
        <v>0.15607267217529849</v>
      </c>
    </row>
    <row r="1136" spans="1:17" hidden="1" x14ac:dyDescent="0.3">
      <c r="A1136" s="13" t="str">
        <f>MID(Indicadores[[#This Row],[CIIU]],2,4)</f>
        <v>5590</v>
      </c>
      <c r="B1136" s="13" t="str">
        <f>Indicadores[[#This Row],[CIIU]]&amp;Indicadores[[#This Row],[Año]]</f>
        <v>I55902018</v>
      </c>
      <c r="C1136" s="845" t="s">
        <v>3048</v>
      </c>
      <c r="D1136" s="845" t="s">
        <v>3049</v>
      </c>
      <c r="E1136" s="843">
        <v>2018</v>
      </c>
      <c r="F1136" s="844" t="s">
        <v>3068</v>
      </c>
      <c r="G1136" s="842" t="s">
        <v>3069</v>
      </c>
      <c r="H1136" s="843" t="s">
        <v>3070</v>
      </c>
      <c r="I1136" s="842" t="s">
        <v>3069</v>
      </c>
      <c r="J1136" s="840">
        <v>2571587</v>
      </c>
      <c r="K1136" s="840">
        <v>4190710</v>
      </c>
      <c r="L1136" s="841">
        <v>87891262</v>
      </c>
      <c r="M1136" s="840">
        <v>21880093</v>
      </c>
      <c r="N1136" s="839">
        <f>Indicadores[[#This Row],[Ventas]]/Indicadores[[#This Row],[Activos totales]]</f>
        <v>0.24894503164603554</v>
      </c>
      <c r="O1136" s="837">
        <f>IF(Indicadores[[#This Row],[Ventas]]=0,0,Indicadores[[#This Row],[EBITDA]]/Indicadores[[#This Row],[Ventas]])</f>
        <v>0.19153072155589101</v>
      </c>
      <c r="P1136" s="837">
        <f>IF(Indicadores[[#This Row],[Ventas]]=0,0,Indicadores[[#This Row],[UAI]]/Indicadores[[#This Row],[Ventas]])</f>
        <v>0.11753089897744036</v>
      </c>
      <c r="Q1136" s="837">
        <f>IFERROR(Indicadores[[#This Row],[Ventas]]/Indicadores[[#This Row],[Activos totales]],0)</f>
        <v>0.24894503164603554</v>
      </c>
    </row>
    <row r="1137" spans="1:17" hidden="1" x14ac:dyDescent="0.3">
      <c r="A1137" s="13" t="str">
        <f>MID(Indicadores[[#This Row],[CIIU]],2,4)</f>
        <v>5611</v>
      </c>
      <c r="B1137" s="13" t="str">
        <f>Indicadores[[#This Row],[CIIU]]&amp;Indicadores[[#This Row],[Año]]</f>
        <v>I56112018</v>
      </c>
      <c r="C1137" s="845" t="s">
        <v>3048</v>
      </c>
      <c r="D1137" s="845" t="s">
        <v>3071</v>
      </c>
      <c r="E1137" s="843">
        <v>2018</v>
      </c>
      <c r="F1137" s="844" t="s">
        <v>3072</v>
      </c>
      <c r="G1137" s="842" t="s">
        <v>3073</v>
      </c>
      <c r="H1137" s="843" t="s">
        <v>3074</v>
      </c>
      <c r="I1137" s="842" t="s">
        <v>3073</v>
      </c>
      <c r="J1137" s="840">
        <v>-23202331</v>
      </c>
      <c r="K1137" s="840">
        <v>105725139</v>
      </c>
      <c r="L1137" s="841">
        <v>2307852986</v>
      </c>
      <c r="M1137" s="840">
        <v>3653310882</v>
      </c>
      <c r="N1137" s="839">
        <f>Indicadores[[#This Row],[Ventas]]/Indicadores[[#This Row],[Activos totales]]</f>
        <v>1.5829911628521731</v>
      </c>
      <c r="O1137" s="837">
        <f>IF(Indicadores[[#This Row],[Ventas]]=0,0,Indicadores[[#This Row],[EBITDA]]/Indicadores[[#This Row],[Ventas]])</f>
        <v>2.8939540711115423E-2</v>
      </c>
      <c r="P1137" s="837">
        <f>IF(Indicadores[[#This Row],[Ventas]]=0,0,Indicadores[[#This Row],[UAI]]/Indicadores[[#This Row],[Ventas]])</f>
        <v>-6.3510420408837247E-3</v>
      </c>
      <c r="Q1137" s="837">
        <f>IFERROR(Indicadores[[#This Row],[Ventas]]/Indicadores[[#This Row],[Activos totales]],0)</f>
        <v>1.5829911628521731</v>
      </c>
    </row>
    <row r="1138" spans="1:17" hidden="1" x14ac:dyDescent="0.3">
      <c r="A1138" s="13" t="str">
        <f>MID(Indicadores[[#This Row],[CIIU]],2,4)</f>
        <v>5612</v>
      </c>
      <c r="B1138" s="13" t="str">
        <f>Indicadores[[#This Row],[CIIU]]&amp;Indicadores[[#This Row],[Año]]</f>
        <v>I56122018</v>
      </c>
      <c r="C1138" s="845" t="s">
        <v>3048</v>
      </c>
      <c r="D1138" s="845" t="s">
        <v>3071</v>
      </c>
      <c r="E1138" s="843">
        <v>2018</v>
      </c>
      <c r="F1138" s="844" t="s">
        <v>3075</v>
      </c>
      <c r="G1138" s="842" t="s">
        <v>3076</v>
      </c>
      <c r="H1138" s="843" t="s">
        <v>3077</v>
      </c>
      <c r="I1138" s="842" t="s">
        <v>3076</v>
      </c>
      <c r="J1138" s="840">
        <v>20609277</v>
      </c>
      <c r="K1138" s="840">
        <v>36893405</v>
      </c>
      <c r="L1138" s="841">
        <v>368194084</v>
      </c>
      <c r="M1138" s="840">
        <v>771761967</v>
      </c>
      <c r="N1138" s="839">
        <f>Indicadores[[#This Row],[Ventas]]/Indicadores[[#This Row],[Activos totales]]</f>
        <v>2.0960737842816615</v>
      </c>
      <c r="O1138" s="837">
        <f>IF(Indicadores[[#This Row],[Ventas]]=0,0,Indicadores[[#This Row],[EBITDA]]/Indicadores[[#This Row],[Ventas]])</f>
        <v>4.7804124299377401E-2</v>
      </c>
      <c r="P1138" s="837">
        <f>IF(Indicadores[[#This Row],[Ventas]]=0,0,Indicadores[[#This Row],[UAI]]/Indicadores[[#This Row],[Ventas]])</f>
        <v>2.6704188443118757E-2</v>
      </c>
      <c r="Q1138" s="837">
        <f>IFERROR(Indicadores[[#This Row],[Ventas]]/Indicadores[[#This Row],[Activos totales]],0)</f>
        <v>2.0960737842816615</v>
      </c>
    </row>
    <row r="1139" spans="1:17" hidden="1" x14ac:dyDescent="0.3">
      <c r="A1139" s="13" t="str">
        <f>MID(Indicadores[[#This Row],[CIIU]],2,4)</f>
        <v>5613</v>
      </c>
      <c r="B1139" s="13" t="str">
        <f>Indicadores[[#This Row],[CIIU]]&amp;Indicadores[[#This Row],[Año]]</f>
        <v>I56132018</v>
      </c>
      <c r="C1139" s="845" t="s">
        <v>3048</v>
      </c>
      <c r="D1139" s="845" t="s">
        <v>3071</v>
      </c>
      <c r="E1139" s="843">
        <v>2018</v>
      </c>
      <c r="F1139" s="844" t="s">
        <v>3078</v>
      </c>
      <c r="G1139" s="842" t="s">
        <v>3079</v>
      </c>
      <c r="H1139" s="843" t="s">
        <v>3080</v>
      </c>
      <c r="I1139" s="842" t="s">
        <v>3079</v>
      </c>
      <c r="J1139" s="840">
        <v>-49895017</v>
      </c>
      <c r="K1139" s="840">
        <v>-29709960</v>
      </c>
      <c r="L1139" s="841">
        <v>158597315</v>
      </c>
      <c r="M1139" s="840">
        <v>262698996</v>
      </c>
      <c r="N1139" s="839">
        <f>Indicadores[[#This Row],[Ventas]]/Indicadores[[#This Row],[Activos totales]]</f>
        <v>1.6563899332091467</v>
      </c>
      <c r="O1139" s="837">
        <f>IF(Indicadores[[#This Row],[Ventas]]=0,0,Indicadores[[#This Row],[EBITDA]]/Indicadores[[#This Row],[Ventas]])</f>
        <v>-0.11309506489320575</v>
      </c>
      <c r="P1139" s="837">
        <f>IF(Indicadores[[#This Row],[Ventas]]=0,0,Indicadores[[#This Row],[UAI]]/Indicadores[[#This Row],[Ventas]])</f>
        <v>-0.18993227138180613</v>
      </c>
      <c r="Q1139" s="837">
        <f>IFERROR(Indicadores[[#This Row],[Ventas]]/Indicadores[[#This Row],[Activos totales]],0)</f>
        <v>1.6563899332091467</v>
      </c>
    </row>
    <row r="1140" spans="1:17" hidden="1" x14ac:dyDescent="0.3">
      <c r="A1140" s="13" t="str">
        <f>MID(Indicadores[[#This Row],[CIIU]],2,4)</f>
        <v>5619</v>
      </c>
      <c r="B1140" s="13" t="str">
        <f>Indicadores[[#This Row],[CIIU]]&amp;Indicadores[[#This Row],[Año]]</f>
        <v>I56192018</v>
      </c>
      <c r="C1140" s="845" t="s">
        <v>3048</v>
      </c>
      <c r="D1140" s="845" t="s">
        <v>3071</v>
      </c>
      <c r="E1140" s="843">
        <v>2018</v>
      </c>
      <c r="F1140" s="844" t="s">
        <v>3081</v>
      </c>
      <c r="G1140" s="842" t="s">
        <v>3082</v>
      </c>
      <c r="H1140" s="843" t="s">
        <v>3083</v>
      </c>
      <c r="I1140" s="842" t="s">
        <v>3082</v>
      </c>
      <c r="J1140" s="840">
        <v>16587565</v>
      </c>
      <c r="K1140" s="840">
        <v>39066926</v>
      </c>
      <c r="L1140" s="841">
        <v>370021739</v>
      </c>
      <c r="M1140" s="840">
        <v>808920655</v>
      </c>
      <c r="N1140" s="839">
        <f>Indicadores[[#This Row],[Ventas]]/Indicadores[[#This Row],[Activos totales]]</f>
        <v>2.1861435957415463</v>
      </c>
      <c r="O1140" s="837">
        <f>IF(Indicadores[[#This Row],[Ventas]]=0,0,Indicadores[[#This Row],[EBITDA]]/Indicadores[[#This Row],[Ventas]])</f>
        <v>4.8295127289091168E-2</v>
      </c>
      <c r="P1140" s="837">
        <f>IF(Indicadores[[#This Row],[Ventas]]=0,0,Indicadores[[#This Row],[UAI]]/Indicadores[[#This Row],[Ventas]])</f>
        <v>2.0505799793182435E-2</v>
      </c>
      <c r="Q1140" s="837">
        <f>IFERROR(Indicadores[[#This Row],[Ventas]]/Indicadores[[#This Row],[Activos totales]],0)</f>
        <v>2.1861435957415463</v>
      </c>
    </row>
    <row r="1141" spans="1:17" hidden="1" x14ac:dyDescent="0.3">
      <c r="A1141" s="13" t="str">
        <f>MID(Indicadores[[#This Row],[CIIU]],2,4)</f>
        <v>5621</v>
      </c>
      <c r="B1141" s="13" t="str">
        <f>Indicadores[[#This Row],[CIIU]]&amp;Indicadores[[#This Row],[Año]]</f>
        <v>I56212018</v>
      </c>
      <c r="C1141" s="845" t="s">
        <v>3048</v>
      </c>
      <c r="D1141" s="845" t="s">
        <v>3071</v>
      </c>
      <c r="E1141" s="843">
        <v>2018</v>
      </c>
      <c r="F1141" s="844" t="s">
        <v>3084</v>
      </c>
      <c r="G1141" s="842" t="s">
        <v>3085</v>
      </c>
      <c r="H1141" s="843" t="s">
        <v>3086</v>
      </c>
      <c r="I1141" s="842" t="s">
        <v>3085</v>
      </c>
      <c r="J1141" s="840">
        <v>1319746</v>
      </c>
      <c r="K1141" s="840">
        <v>5082526</v>
      </c>
      <c r="L1141" s="841">
        <v>131856534</v>
      </c>
      <c r="M1141" s="840">
        <v>181703395</v>
      </c>
      <c r="N1141" s="839">
        <f>Indicadores[[#This Row],[Ventas]]/Indicadores[[#This Row],[Activos totales]]</f>
        <v>1.3780386112682137</v>
      </c>
      <c r="O1141" s="837">
        <f>IF(Indicadores[[#This Row],[Ventas]]=0,0,Indicadores[[#This Row],[EBITDA]]/Indicadores[[#This Row],[Ventas]])</f>
        <v>2.797155221012794E-2</v>
      </c>
      <c r="P1141" s="837">
        <f>IF(Indicadores[[#This Row],[Ventas]]=0,0,Indicadores[[#This Row],[UAI]]/Indicadores[[#This Row],[Ventas]])</f>
        <v>7.2631884506065506E-3</v>
      </c>
      <c r="Q1141" s="837">
        <f>IFERROR(Indicadores[[#This Row],[Ventas]]/Indicadores[[#This Row],[Activos totales]],0)</f>
        <v>1.3780386112682137</v>
      </c>
    </row>
    <row r="1142" spans="1:17" hidden="1" x14ac:dyDescent="0.3">
      <c r="A1142" s="13" t="str">
        <f>MID(Indicadores[[#This Row],[CIIU]],2,4)</f>
        <v>5629</v>
      </c>
      <c r="B1142" s="13" t="str">
        <f>Indicadores[[#This Row],[CIIU]]&amp;Indicadores[[#This Row],[Año]]</f>
        <v>I56292018</v>
      </c>
      <c r="C1142" s="845" t="s">
        <v>3048</v>
      </c>
      <c r="D1142" s="845" t="s">
        <v>3071</v>
      </c>
      <c r="E1142" s="843">
        <v>2018</v>
      </c>
      <c r="F1142" s="844" t="s">
        <v>3087</v>
      </c>
      <c r="G1142" s="842" t="s">
        <v>3088</v>
      </c>
      <c r="H1142" s="843" t="s">
        <v>3089</v>
      </c>
      <c r="I1142" s="842" t="s">
        <v>3088</v>
      </c>
      <c r="J1142" s="840">
        <v>20382063</v>
      </c>
      <c r="K1142" s="840">
        <v>32576734</v>
      </c>
      <c r="L1142" s="841">
        <v>291043653</v>
      </c>
      <c r="M1142" s="840">
        <v>344632791</v>
      </c>
      <c r="N1142" s="839">
        <f>Indicadores[[#This Row],[Ventas]]/Indicadores[[#This Row],[Activos totales]]</f>
        <v>1.1841274923799834</v>
      </c>
      <c r="O1142" s="837">
        <f>IF(Indicadores[[#This Row],[Ventas]]=0,0,Indicadores[[#This Row],[EBITDA]]/Indicadores[[#This Row],[Ventas]])</f>
        <v>9.4525926872698535E-2</v>
      </c>
      <c r="P1142" s="837">
        <f>IF(Indicadores[[#This Row],[Ventas]]=0,0,Indicadores[[#This Row],[UAI]]/Indicadores[[#This Row],[Ventas]])</f>
        <v>5.9141392033121999E-2</v>
      </c>
      <c r="Q1142" s="837">
        <f>IFERROR(Indicadores[[#This Row],[Ventas]]/Indicadores[[#This Row],[Activos totales]],0)</f>
        <v>1.1841274923799834</v>
      </c>
    </row>
    <row r="1143" spans="1:17" hidden="1" x14ac:dyDescent="0.3">
      <c r="A1143" s="13" t="str">
        <f>MID(Indicadores[[#This Row],[CIIU]],2,4)</f>
        <v>5630</v>
      </c>
      <c r="B1143" s="13" t="str">
        <f>Indicadores[[#This Row],[CIIU]]&amp;Indicadores[[#This Row],[Año]]</f>
        <v>I56302018</v>
      </c>
      <c r="C1143" s="845" t="s">
        <v>3048</v>
      </c>
      <c r="D1143" s="845" t="s">
        <v>3071</v>
      </c>
      <c r="E1143" s="843">
        <v>2018</v>
      </c>
      <c r="F1143" s="844" t="s">
        <v>3090</v>
      </c>
      <c r="G1143" s="842" t="s">
        <v>3091</v>
      </c>
      <c r="H1143" s="843" t="s">
        <v>3092</v>
      </c>
      <c r="I1143" s="842" t="s">
        <v>3091</v>
      </c>
      <c r="J1143" s="840">
        <v>-4015679</v>
      </c>
      <c r="K1143" s="840">
        <v>6050469</v>
      </c>
      <c r="L1143" s="841">
        <v>149308002</v>
      </c>
      <c r="M1143" s="840">
        <v>154396394</v>
      </c>
      <c r="N1143" s="839">
        <f>Indicadores[[#This Row],[Ventas]]/Indicadores[[#This Row],[Activos totales]]</f>
        <v>1.0340798345155005</v>
      </c>
      <c r="O1143" s="837">
        <f>IF(Indicadores[[#This Row],[Ventas]]=0,0,Indicadores[[#This Row],[EBITDA]]/Indicadores[[#This Row],[Ventas]])</f>
        <v>3.9187890618740749E-2</v>
      </c>
      <c r="P1143" s="837">
        <f>IF(Indicadores[[#This Row],[Ventas]]=0,0,Indicadores[[#This Row],[UAI]]/Indicadores[[#This Row],[Ventas]])</f>
        <v>-2.6008891114387037E-2</v>
      </c>
      <c r="Q1143" s="837">
        <f>IFERROR(Indicadores[[#This Row],[Ventas]]/Indicadores[[#This Row],[Activos totales]],0)</f>
        <v>1.0340798345155005</v>
      </c>
    </row>
    <row r="1144" spans="1:17" hidden="1" x14ac:dyDescent="0.3">
      <c r="A1144" s="13" t="str">
        <f>MID(Indicadores[[#This Row],[CIIU]],2,4)</f>
        <v>5811</v>
      </c>
      <c r="B1144" s="13" t="str">
        <f>Indicadores[[#This Row],[CIIU]]&amp;Indicadores[[#This Row],[Año]]</f>
        <v>J58112018</v>
      </c>
      <c r="C1144" s="845" t="s">
        <v>3093</v>
      </c>
      <c r="D1144" s="845" t="s">
        <v>3094</v>
      </c>
      <c r="E1144" s="843">
        <v>2018</v>
      </c>
      <c r="F1144" s="844" t="s">
        <v>3095</v>
      </c>
      <c r="G1144" s="842" t="s">
        <v>3096</v>
      </c>
      <c r="H1144" s="843" t="s">
        <v>3097</v>
      </c>
      <c r="I1144" s="842" t="s">
        <v>3096</v>
      </c>
      <c r="J1144" s="840">
        <v>43684933</v>
      </c>
      <c r="K1144" s="840">
        <v>61683406</v>
      </c>
      <c r="L1144" s="841">
        <v>712303680</v>
      </c>
      <c r="M1144" s="840">
        <v>504458103</v>
      </c>
      <c r="N1144" s="839">
        <f>Indicadores[[#This Row],[Ventas]]/Indicadores[[#This Row],[Activos totales]]</f>
        <v>0.7082065096167971</v>
      </c>
      <c r="O1144" s="837">
        <f>IF(Indicadores[[#This Row],[Ventas]]=0,0,Indicadores[[#This Row],[EBITDA]]/Indicadores[[#This Row],[Ventas]])</f>
        <v>0.12227656892251366</v>
      </c>
      <c r="P1144" s="837">
        <f>IF(Indicadores[[#This Row],[Ventas]]=0,0,Indicadores[[#This Row],[UAI]]/Indicadores[[#This Row],[Ventas]])</f>
        <v>8.6597742687067117E-2</v>
      </c>
      <c r="Q1144" s="837">
        <f>IFERROR(Indicadores[[#This Row],[Ventas]]/Indicadores[[#This Row],[Activos totales]],0)</f>
        <v>0.7082065096167971</v>
      </c>
    </row>
    <row r="1145" spans="1:17" hidden="1" x14ac:dyDescent="0.3">
      <c r="A1145" s="13" t="str">
        <f>MID(Indicadores[[#This Row],[CIIU]],2,4)</f>
        <v>5813</v>
      </c>
      <c r="B1145" s="13" t="str">
        <f>Indicadores[[#This Row],[CIIU]]&amp;Indicadores[[#This Row],[Año]]</f>
        <v>J58132018</v>
      </c>
      <c r="C1145" s="845" t="s">
        <v>3093</v>
      </c>
      <c r="D1145" s="845" t="s">
        <v>3094</v>
      </c>
      <c r="E1145" s="843">
        <v>2018</v>
      </c>
      <c r="F1145" s="844" t="s">
        <v>3098</v>
      </c>
      <c r="G1145" s="842" t="s">
        <v>3099</v>
      </c>
      <c r="H1145" s="843" t="s">
        <v>3100</v>
      </c>
      <c r="I1145" s="842" t="s">
        <v>3099</v>
      </c>
      <c r="J1145" s="840">
        <v>-5218117</v>
      </c>
      <c r="K1145" s="840">
        <v>8186973</v>
      </c>
      <c r="L1145" s="841">
        <v>572514171</v>
      </c>
      <c r="M1145" s="840">
        <v>461429380</v>
      </c>
      <c r="N1145" s="839">
        <f>Indicadores[[#This Row],[Ventas]]/Indicadores[[#This Row],[Activos totales]]</f>
        <v>0.80597023335514961</v>
      </c>
      <c r="O1145" s="837">
        <f>IF(Indicadores[[#This Row],[Ventas]]=0,0,Indicadores[[#This Row],[EBITDA]]/Indicadores[[#This Row],[Ventas]])</f>
        <v>1.7742634853463383E-2</v>
      </c>
      <c r="P1145" s="837">
        <f>IF(Indicadores[[#This Row],[Ventas]]=0,0,Indicadores[[#This Row],[UAI]]/Indicadores[[#This Row],[Ventas]])</f>
        <v>-1.1308592877202574E-2</v>
      </c>
      <c r="Q1145" s="837">
        <f>IFERROR(Indicadores[[#This Row],[Ventas]]/Indicadores[[#This Row],[Activos totales]],0)</f>
        <v>0.80597023335514961</v>
      </c>
    </row>
    <row r="1146" spans="1:17" hidden="1" x14ac:dyDescent="0.3">
      <c r="A1146" s="13" t="str">
        <f>MID(Indicadores[[#This Row],[CIIU]],2,4)</f>
        <v>5819</v>
      </c>
      <c r="B1146" s="13" t="str">
        <f>Indicadores[[#This Row],[CIIU]]&amp;Indicadores[[#This Row],[Año]]</f>
        <v>J58192018</v>
      </c>
      <c r="C1146" s="845" t="s">
        <v>3093</v>
      </c>
      <c r="D1146" s="845" t="s">
        <v>3094</v>
      </c>
      <c r="E1146" s="843">
        <v>2018</v>
      </c>
      <c r="F1146" s="844" t="s">
        <v>3101</v>
      </c>
      <c r="G1146" s="842" t="s">
        <v>3102</v>
      </c>
      <c r="H1146" s="843" t="s">
        <v>3103</v>
      </c>
      <c r="I1146" s="842" t="s">
        <v>3102</v>
      </c>
      <c r="J1146" s="840">
        <v>3337</v>
      </c>
      <c r="K1146" s="840">
        <v>3337</v>
      </c>
      <c r="L1146" s="841">
        <v>69739</v>
      </c>
      <c r="M1146" s="840">
        <v>67204</v>
      </c>
      <c r="N1146" s="839">
        <f>Indicadores[[#This Row],[Ventas]]/Indicadores[[#This Row],[Activos totales]]</f>
        <v>0.96365018139061354</v>
      </c>
      <c r="O1146" s="837">
        <f>IF(Indicadores[[#This Row],[Ventas]]=0,0,Indicadores[[#This Row],[EBITDA]]/Indicadores[[#This Row],[Ventas]])</f>
        <v>4.9654782453425389E-2</v>
      </c>
      <c r="P1146" s="837">
        <f>IF(Indicadores[[#This Row],[Ventas]]=0,0,Indicadores[[#This Row],[UAI]]/Indicadores[[#This Row],[Ventas]])</f>
        <v>4.9654782453425389E-2</v>
      </c>
      <c r="Q1146" s="837">
        <f>IFERROR(Indicadores[[#This Row],[Ventas]]/Indicadores[[#This Row],[Activos totales]],0)</f>
        <v>0.96365018139061354</v>
      </c>
    </row>
    <row r="1147" spans="1:17" hidden="1" x14ac:dyDescent="0.3">
      <c r="A1147" s="13" t="str">
        <f>MID(Indicadores[[#This Row],[CIIU]],2,4)</f>
        <v>5820</v>
      </c>
      <c r="B1147" s="13" t="str">
        <f>Indicadores[[#This Row],[CIIU]]&amp;Indicadores[[#This Row],[Año]]</f>
        <v>J58202018</v>
      </c>
      <c r="C1147" s="845" t="s">
        <v>3093</v>
      </c>
      <c r="D1147" s="845" t="s">
        <v>3094</v>
      </c>
      <c r="E1147" s="843">
        <v>2018</v>
      </c>
      <c r="F1147" s="844" t="s">
        <v>3104</v>
      </c>
      <c r="G1147" s="842" t="s">
        <v>3105</v>
      </c>
      <c r="H1147" s="843" t="s">
        <v>3106</v>
      </c>
      <c r="I1147" s="842" t="s">
        <v>3105</v>
      </c>
      <c r="J1147" s="840">
        <v>2744336</v>
      </c>
      <c r="K1147" s="840">
        <v>2920514</v>
      </c>
      <c r="L1147" s="841">
        <v>19579583</v>
      </c>
      <c r="M1147" s="840">
        <v>43838806</v>
      </c>
      <c r="N1147" s="839">
        <f>Indicadores[[#This Row],[Ventas]]/Indicadores[[#This Row],[Activos totales]]</f>
        <v>2.2390061116214786</v>
      </c>
      <c r="O1147" s="837">
        <f>IF(Indicadores[[#This Row],[Ventas]]=0,0,Indicadores[[#This Row],[EBITDA]]/Indicadores[[#This Row],[Ventas]])</f>
        <v>6.6619378274125438E-2</v>
      </c>
      <c r="P1147" s="837">
        <f>IF(Indicadores[[#This Row],[Ventas]]=0,0,Indicadores[[#This Row],[UAI]]/Indicadores[[#This Row],[Ventas]])</f>
        <v>6.2600610062235731E-2</v>
      </c>
      <c r="Q1147" s="837">
        <f>IFERROR(Indicadores[[#This Row],[Ventas]]/Indicadores[[#This Row],[Activos totales]],0)</f>
        <v>2.2390061116214786</v>
      </c>
    </row>
    <row r="1148" spans="1:17" hidden="1" x14ac:dyDescent="0.3">
      <c r="A1148" s="13" t="str">
        <f>MID(Indicadores[[#This Row],[CIIU]],2,4)</f>
        <v>5911</v>
      </c>
      <c r="B1148" s="13" t="str">
        <f>Indicadores[[#This Row],[CIIU]]&amp;Indicadores[[#This Row],[Año]]</f>
        <v>J59112018</v>
      </c>
      <c r="C1148" s="845" t="s">
        <v>3093</v>
      </c>
      <c r="D1148" s="845" t="s">
        <v>3107</v>
      </c>
      <c r="E1148" s="843">
        <v>2018</v>
      </c>
      <c r="F1148" s="844" t="s">
        <v>3108</v>
      </c>
      <c r="G1148" s="842" t="s">
        <v>3109</v>
      </c>
      <c r="H1148" s="843" t="s">
        <v>3110</v>
      </c>
      <c r="I1148" s="842" t="s">
        <v>3109</v>
      </c>
      <c r="J1148" s="840">
        <v>12683535</v>
      </c>
      <c r="K1148" s="840">
        <v>98156212</v>
      </c>
      <c r="L1148" s="841">
        <v>353897552</v>
      </c>
      <c r="M1148" s="840">
        <v>289910863</v>
      </c>
      <c r="N1148" s="839">
        <f>Indicadores[[#This Row],[Ventas]]/Indicadores[[#This Row],[Activos totales]]</f>
        <v>0.81919431587365144</v>
      </c>
      <c r="O1148" s="837">
        <f>IF(Indicadores[[#This Row],[Ventas]]=0,0,Indicadores[[#This Row],[EBITDA]]/Indicadores[[#This Row],[Ventas]])</f>
        <v>0.33857376361919905</v>
      </c>
      <c r="P1148" s="837">
        <f>IF(Indicadores[[#This Row],[Ventas]]=0,0,Indicadores[[#This Row],[UAI]]/Indicadores[[#This Row],[Ventas]])</f>
        <v>4.3749774909262372E-2</v>
      </c>
      <c r="Q1148" s="837">
        <f>IFERROR(Indicadores[[#This Row],[Ventas]]/Indicadores[[#This Row],[Activos totales]],0)</f>
        <v>0.81919431587365144</v>
      </c>
    </row>
    <row r="1149" spans="1:17" hidden="1" x14ac:dyDescent="0.3">
      <c r="A1149" s="13" t="str">
        <f>MID(Indicadores[[#This Row],[CIIU]],2,4)</f>
        <v>5912</v>
      </c>
      <c r="B1149" s="13" t="str">
        <f>Indicadores[[#This Row],[CIIU]]&amp;Indicadores[[#This Row],[Año]]</f>
        <v>J59122018</v>
      </c>
      <c r="C1149" s="845" t="s">
        <v>3093</v>
      </c>
      <c r="D1149" s="845" t="s">
        <v>3107</v>
      </c>
      <c r="E1149" s="843">
        <v>2018</v>
      </c>
      <c r="F1149" s="844" t="s">
        <v>3111</v>
      </c>
      <c r="G1149" s="842" t="s">
        <v>3112</v>
      </c>
      <c r="H1149" s="843" t="s">
        <v>3113</v>
      </c>
      <c r="I1149" s="842" t="s">
        <v>3112</v>
      </c>
      <c r="J1149" s="840">
        <v>1989620</v>
      </c>
      <c r="K1149" s="840">
        <v>2031724</v>
      </c>
      <c r="L1149" s="841">
        <v>12763895</v>
      </c>
      <c r="M1149" s="840">
        <v>2320750</v>
      </c>
      <c r="N1149" s="839">
        <f>Indicadores[[#This Row],[Ventas]]/Indicadores[[#This Row],[Activos totales]]</f>
        <v>0.18182145810506903</v>
      </c>
      <c r="O1149" s="837">
        <f>IF(Indicadores[[#This Row],[Ventas]]=0,0,Indicadores[[#This Row],[EBITDA]]/Indicadores[[#This Row],[Ventas]])</f>
        <v>0.87546008833351285</v>
      </c>
      <c r="P1149" s="837">
        <f>IF(Indicadores[[#This Row],[Ventas]]=0,0,Indicadores[[#This Row],[UAI]]/Indicadores[[#This Row],[Ventas]])</f>
        <v>0.85731767747495424</v>
      </c>
      <c r="Q1149" s="837">
        <f>IFERROR(Indicadores[[#This Row],[Ventas]]/Indicadores[[#This Row],[Activos totales]],0)</f>
        <v>0.18182145810506903</v>
      </c>
    </row>
    <row r="1150" spans="1:17" hidden="1" x14ac:dyDescent="0.3">
      <c r="A1150" s="13" t="str">
        <f>MID(Indicadores[[#This Row],[CIIU]],2,4)</f>
        <v>5913</v>
      </c>
      <c r="B1150" s="13" t="str">
        <f>Indicadores[[#This Row],[CIIU]]&amp;Indicadores[[#This Row],[Año]]</f>
        <v>J59132018</v>
      </c>
      <c r="C1150" s="845" t="s">
        <v>3093</v>
      </c>
      <c r="D1150" s="845" t="s">
        <v>3107</v>
      </c>
      <c r="E1150" s="843">
        <v>2018</v>
      </c>
      <c r="F1150" s="844" t="s">
        <v>3114</v>
      </c>
      <c r="G1150" s="838" t="s">
        <v>3115</v>
      </c>
      <c r="H1150" s="843" t="s">
        <v>3116</v>
      </c>
      <c r="I1150" s="842" t="s">
        <v>3115</v>
      </c>
      <c r="J1150" s="840">
        <v>5329041</v>
      </c>
      <c r="K1150" s="840">
        <v>6103363</v>
      </c>
      <c r="L1150" s="841">
        <v>46700617</v>
      </c>
      <c r="M1150" s="840">
        <v>73119891</v>
      </c>
      <c r="N1150" s="839">
        <f>Indicadores[[#This Row],[Ventas]]/Indicadores[[#This Row],[Activos totales]]</f>
        <v>1.5657157377599529</v>
      </c>
      <c r="O1150" s="837">
        <f>IF(Indicadores[[#This Row],[Ventas]]=0,0,Indicadores[[#This Row],[EBITDA]]/Indicadores[[#This Row],[Ventas]])</f>
        <v>8.3470624976724875E-2</v>
      </c>
      <c r="P1150" s="837">
        <f>IF(Indicadores[[#This Row],[Ventas]]=0,0,Indicadores[[#This Row],[UAI]]/Indicadores[[#This Row],[Ventas]])</f>
        <v>7.2880866302166669E-2</v>
      </c>
      <c r="Q1150" s="837">
        <f>IFERROR(Indicadores[[#This Row],[Ventas]]/Indicadores[[#This Row],[Activos totales]],0)</f>
        <v>1.5657157377599529</v>
      </c>
    </row>
    <row r="1151" spans="1:17" hidden="1" x14ac:dyDescent="0.3">
      <c r="A1151" s="13" t="str">
        <f>MID(Indicadores[[#This Row],[CIIU]],2,4)</f>
        <v>5914</v>
      </c>
      <c r="B1151" s="13" t="str">
        <f>Indicadores[[#This Row],[CIIU]]&amp;Indicadores[[#This Row],[Año]]</f>
        <v>J59142018</v>
      </c>
      <c r="C1151" s="845" t="s">
        <v>3093</v>
      </c>
      <c r="D1151" s="845" t="s">
        <v>3107</v>
      </c>
      <c r="E1151" s="843">
        <v>2018</v>
      </c>
      <c r="F1151" s="844" t="s">
        <v>3117</v>
      </c>
      <c r="G1151" s="842" t="s">
        <v>3118</v>
      </c>
      <c r="H1151" s="843" t="s">
        <v>3119</v>
      </c>
      <c r="I1151" s="842" t="s">
        <v>3118</v>
      </c>
      <c r="J1151" s="840">
        <v>73458413</v>
      </c>
      <c r="K1151" s="840">
        <v>153580227</v>
      </c>
      <c r="L1151" s="841">
        <v>1435911356</v>
      </c>
      <c r="M1151" s="840">
        <v>1023944860</v>
      </c>
      <c r="N1151" s="839">
        <f>Indicadores[[#This Row],[Ventas]]/Indicadores[[#This Row],[Activos totales]]</f>
        <v>0.71309754304916861</v>
      </c>
      <c r="O1151" s="837">
        <f>IF(Indicadores[[#This Row],[Ventas]]=0,0,Indicadores[[#This Row],[EBITDA]]/Indicadores[[#This Row],[Ventas]])</f>
        <v>0.14998876697325284</v>
      </c>
      <c r="P1151" s="837">
        <f>IF(Indicadores[[#This Row],[Ventas]]=0,0,Indicadores[[#This Row],[UAI]]/Indicadores[[#This Row],[Ventas]])</f>
        <v>7.1740594508184749E-2</v>
      </c>
      <c r="Q1151" s="837">
        <f>IFERROR(Indicadores[[#This Row],[Ventas]]/Indicadores[[#This Row],[Activos totales]],0)</f>
        <v>0.71309754304916861</v>
      </c>
    </row>
    <row r="1152" spans="1:17" hidden="1" x14ac:dyDescent="0.3">
      <c r="A1152" s="13" t="str">
        <f>MID(Indicadores[[#This Row],[CIIU]],2,4)</f>
        <v>5920</v>
      </c>
      <c r="B1152" s="13" t="str">
        <f>Indicadores[[#This Row],[CIIU]]&amp;Indicadores[[#This Row],[Año]]</f>
        <v>J59202018</v>
      </c>
      <c r="C1152" s="845" t="s">
        <v>3093</v>
      </c>
      <c r="D1152" s="845" t="s">
        <v>3107</v>
      </c>
      <c r="E1152" s="843">
        <v>2018</v>
      </c>
      <c r="F1152" s="844" t="s">
        <v>3120</v>
      </c>
      <c r="G1152" s="842" t="s">
        <v>3121</v>
      </c>
      <c r="H1152" s="843" t="s">
        <v>3122</v>
      </c>
      <c r="I1152" s="842" t="s">
        <v>3121</v>
      </c>
      <c r="J1152" s="840">
        <v>-439969</v>
      </c>
      <c r="K1152" s="840">
        <v>1387950</v>
      </c>
      <c r="L1152" s="841">
        <v>70470053</v>
      </c>
      <c r="M1152" s="840">
        <v>74919203</v>
      </c>
      <c r="N1152" s="839">
        <f>Indicadores[[#This Row],[Ventas]]/Indicadores[[#This Row],[Activos totales]]</f>
        <v>1.0631353292724215</v>
      </c>
      <c r="O1152" s="837">
        <f>IF(Indicadores[[#This Row],[Ventas]]=0,0,Indicadores[[#This Row],[EBITDA]]/Indicadores[[#This Row],[Ventas]])</f>
        <v>1.8525957890929513E-2</v>
      </c>
      <c r="P1152" s="837">
        <f>IF(Indicadores[[#This Row],[Ventas]]=0,0,Indicadores[[#This Row],[UAI]]/Indicadores[[#This Row],[Ventas]])</f>
        <v>-5.8725798244276574E-3</v>
      </c>
      <c r="Q1152" s="837">
        <f>IFERROR(Indicadores[[#This Row],[Ventas]]/Indicadores[[#This Row],[Activos totales]],0)</f>
        <v>1.0631353292724215</v>
      </c>
    </row>
    <row r="1153" spans="1:17" hidden="1" x14ac:dyDescent="0.3">
      <c r="A1153" s="13" t="str">
        <f>MID(Indicadores[[#This Row],[CIIU]],2,4)</f>
        <v>6010</v>
      </c>
      <c r="B1153" s="13" t="str">
        <f>Indicadores[[#This Row],[CIIU]]&amp;Indicadores[[#This Row],[Año]]</f>
        <v>J60102018</v>
      </c>
      <c r="C1153" s="845" t="s">
        <v>3093</v>
      </c>
      <c r="D1153" s="845" t="s">
        <v>3123</v>
      </c>
      <c r="E1153" s="843">
        <v>2018</v>
      </c>
      <c r="F1153" s="844" t="s">
        <v>3124</v>
      </c>
      <c r="G1153" s="842" t="s">
        <v>3125</v>
      </c>
      <c r="H1153" s="843" t="s">
        <v>3126</v>
      </c>
      <c r="I1153" s="842" t="s">
        <v>3125</v>
      </c>
      <c r="J1153" s="840">
        <v>-382685</v>
      </c>
      <c r="K1153" s="840">
        <v>16019728</v>
      </c>
      <c r="L1153" s="841">
        <v>798185025</v>
      </c>
      <c r="M1153" s="840">
        <v>507624296</v>
      </c>
      <c r="N1153" s="839">
        <f>Indicadores[[#This Row],[Ventas]]/Indicadores[[#This Row],[Activos totales]]</f>
        <v>0.63597321435590703</v>
      </c>
      <c r="O1153" s="837">
        <f>IF(Indicadores[[#This Row],[Ventas]]=0,0,Indicadores[[#This Row],[EBITDA]]/Indicadores[[#This Row],[Ventas]])</f>
        <v>3.1558237314945226E-2</v>
      </c>
      <c r="P1153" s="837">
        <f>IF(Indicadores[[#This Row],[Ventas]]=0,0,Indicadores[[#This Row],[UAI]]/Indicadores[[#This Row],[Ventas]])</f>
        <v>-7.5387447570082419E-4</v>
      </c>
      <c r="Q1153" s="837">
        <f>IFERROR(Indicadores[[#This Row],[Ventas]]/Indicadores[[#This Row],[Activos totales]],0)</f>
        <v>0.63597321435590703</v>
      </c>
    </row>
    <row r="1154" spans="1:17" hidden="1" x14ac:dyDescent="0.3">
      <c r="A1154" s="13" t="str">
        <f>MID(Indicadores[[#This Row],[CIIU]],2,4)</f>
        <v>6020</v>
      </c>
      <c r="B1154" s="13" t="str">
        <f>Indicadores[[#This Row],[CIIU]]&amp;Indicadores[[#This Row],[Año]]</f>
        <v>J60202018</v>
      </c>
      <c r="C1154" s="845" t="s">
        <v>3093</v>
      </c>
      <c r="D1154" s="845" t="s">
        <v>3123</v>
      </c>
      <c r="E1154" s="843">
        <v>2018</v>
      </c>
      <c r="F1154" s="844" t="s">
        <v>3127</v>
      </c>
      <c r="G1154" s="842" t="s">
        <v>3128</v>
      </c>
      <c r="H1154" s="843" t="s">
        <v>3129</v>
      </c>
      <c r="I1154" s="842" t="s">
        <v>3128</v>
      </c>
      <c r="J1154" s="840">
        <v>19081859</v>
      </c>
      <c r="K1154" s="840">
        <v>34643702</v>
      </c>
      <c r="L1154" s="841">
        <v>408203876</v>
      </c>
      <c r="M1154" s="840">
        <v>296093073</v>
      </c>
      <c r="N1154" s="839">
        <f>Indicadores[[#This Row],[Ventas]]/Indicadores[[#This Row],[Activos totales]]</f>
        <v>0.72535585869841179</v>
      </c>
      <c r="O1154" s="837">
        <f>IF(Indicadores[[#This Row],[Ventas]]=0,0,Indicadores[[#This Row],[EBITDA]]/Indicadores[[#This Row],[Ventas]])</f>
        <v>0.11700274393112871</v>
      </c>
      <c r="P1154" s="837">
        <f>IF(Indicadores[[#This Row],[Ventas]]=0,0,Indicadores[[#This Row],[UAI]]/Indicadores[[#This Row],[Ventas]])</f>
        <v>6.444547589939735E-2</v>
      </c>
      <c r="Q1154" s="837">
        <f>IFERROR(Indicadores[[#This Row],[Ventas]]/Indicadores[[#This Row],[Activos totales]],0)</f>
        <v>0.72535585869841179</v>
      </c>
    </row>
    <row r="1155" spans="1:17" hidden="1" x14ac:dyDescent="0.3">
      <c r="A1155" s="13" t="str">
        <f>MID(Indicadores[[#This Row],[CIIU]],2,4)</f>
        <v>6110</v>
      </c>
      <c r="B1155" s="13" t="str">
        <f>Indicadores[[#This Row],[CIIU]]&amp;Indicadores[[#This Row],[Año]]</f>
        <v>J61102018</v>
      </c>
      <c r="C1155" s="845" t="s">
        <v>3093</v>
      </c>
      <c r="D1155" s="845" t="s">
        <v>3130</v>
      </c>
      <c r="E1155" s="843">
        <v>2018</v>
      </c>
      <c r="F1155" s="844" t="s">
        <v>3131</v>
      </c>
      <c r="G1155" s="842" t="s">
        <v>3132</v>
      </c>
      <c r="H1155" s="843" t="s">
        <v>3133</v>
      </c>
      <c r="I1155" s="842" t="s">
        <v>3132</v>
      </c>
      <c r="J1155" s="840">
        <v>-37540957</v>
      </c>
      <c r="K1155" s="840">
        <v>79665047</v>
      </c>
      <c r="L1155" s="841">
        <v>2575544404</v>
      </c>
      <c r="M1155" s="840">
        <v>1218099155</v>
      </c>
      <c r="N1155" s="839">
        <f>Indicadores[[#This Row],[Ventas]]/Indicadores[[#This Row],[Activos totales]]</f>
        <v>0.47294822527936503</v>
      </c>
      <c r="O1155" s="837">
        <f>IF(Indicadores[[#This Row],[Ventas]]=0,0,Indicadores[[#This Row],[EBITDA]]/Indicadores[[#This Row],[Ventas]])</f>
        <v>6.5401118351485932E-2</v>
      </c>
      <c r="P1155" s="837">
        <f>IF(Indicadores[[#This Row],[Ventas]]=0,0,Indicadores[[#This Row],[UAI]]/Indicadores[[#This Row],[Ventas]])</f>
        <v>-3.0819294838111928E-2</v>
      </c>
      <c r="Q1155" s="837">
        <f>IFERROR(Indicadores[[#This Row],[Ventas]]/Indicadores[[#This Row],[Activos totales]],0)</f>
        <v>0.47294822527936503</v>
      </c>
    </row>
    <row r="1156" spans="1:17" hidden="1" x14ac:dyDescent="0.3">
      <c r="A1156" s="13" t="str">
        <f>MID(Indicadores[[#This Row],[CIIU]],2,4)</f>
        <v>6120</v>
      </c>
      <c r="B1156" s="13" t="str">
        <f>Indicadores[[#This Row],[CIIU]]&amp;Indicadores[[#This Row],[Año]]</f>
        <v>J61202018</v>
      </c>
      <c r="C1156" s="845" t="s">
        <v>3093</v>
      </c>
      <c r="D1156" s="845" t="s">
        <v>3130</v>
      </c>
      <c r="E1156" s="843">
        <v>2018</v>
      </c>
      <c r="F1156" s="844" t="s">
        <v>3134</v>
      </c>
      <c r="G1156" s="842" t="s">
        <v>3135</v>
      </c>
      <c r="H1156" s="843" t="s">
        <v>3136</v>
      </c>
      <c r="I1156" s="842" t="s">
        <v>3135</v>
      </c>
      <c r="J1156" s="840">
        <v>1170999547</v>
      </c>
      <c r="K1156" s="840">
        <v>2906469907</v>
      </c>
      <c r="L1156" s="841">
        <v>18073086782</v>
      </c>
      <c r="M1156" s="840">
        <v>10999897825</v>
      </c>
      <c r="N1156" s="839">
        <f>Indicadores[[#This Row],[Ventas]]/Indicadores[[#This Row],[Activos totales]]</f>
        <v>0.60863415075035299</v>
      </c>
      <c r="O1156" s="837">
        <f>IF(Indicadores[[#This Row],[Ventas]]=0,0,Indicadores[[#This Row],[EBITDA]]/Indicadores[[#This Row],[Ventas]])</f>
        <v>0.26422699130843974</v>
      </c>
      <c r="P1156" s="837">
        <f>IF(Indicadores[[#This Row],[Ventas]]=0,0,Indicadores[[#This Row],[UAI]]/Indicadores[[#This Row],[Ventas]])</f>
        <v>0.10645549309909158</v>
      </c>
      <c r="Q1156" s="837">
        <f>IFERROR(Indicadores[[#This Row],[Ventas]]/Indicadores[[#This Row],[Activos totales]],0)</f>
        <v>0.60863415075035299</v>
      </c>
    </row>
    <row r="1157" spans="1:17" hidden="1" x14ac:dyDescent="0.3">
      <c r="A1157" s="13" t="str">
        <f>MID(Indicadores[[#This Row],[CIIU]],2,4)</f>
        <v>6130</v>
      </c>
      <c r="B1157" s="13" t="str">
        <f>Indicadores[[#This Row],[CIIU]]&amp;Indicadores[[#This Row],[Año]]</f>
        <v>J61302018</v>
      </c>
      <c r="C1157" s="845" t="s">
        <v>3093</v>
      </c>
      <c r="D1157" s="845" t="s">
        <v>3130</v>
      </c>
      <c r="E1157" s="843">
        <v>2018</v>
      </c>
      <c r="F1157" s="844" t="s">
        <v>3137</v>
      </c>
      <c r="G1157" s="842" t="s">
        <v>3138</v>
      </c>
      <c r="H1157" s="843" t="s">
        <v>3139</v>
      </c>
      <c r="I1157" s="842" t="s">
        <v>3138</v>
      </c>
      <c r="J1157" s="840">
        <v>-12772993</v>
      </c>
      <c r="K1157" s="840">
        <v>158289802</v>
      </c>
      <c r="L1157" s="841">
        <v>901716068</v>
      </c>
      <c r="M1157" s="840">
        <v>1336830311</v>
      </c>
      <c r="N1157" s="839">
        <f>Indicadores[[#This Row],[Ventas]]/Indicadores[[#This Row],[Activos totales]]</f>
        <v>1.4825401902453401</v>
      </c>
      <c r="O1157" s="837">
        <f>IF(Indicadores[[#This Row],[Ventas]]=0,0,Indicadores[[#This Row],[EBITDA]]/Indicadores[[#This Row],[Ventas]])</f>
        <v>0.11840680204325499</v>
      </c>
      <c r="P1157" s="837">
        <f>IF(Indicadores[[#This Row],[Ventas]]=0,0,Indicadores[[#This Row],[UAI]]/Indicadores[[#This Row],[Ventas]])</f>
        <v>-9.5546853590156213E-3</v>
      </c>
      <c r="Q1157" s="837">
        <f>IFERROR(Indicadores[[#This Row],[Ventas]]/Indicadores[[#This Row],[Activos totales]],0)</f>
        <v>1.4825401902453401</v>
      </c>
    </row>
    <row r="1158" spans="1:17" hidden="1" x14ac:dyDescent="0.3">
      <c r="A1158" s="13" t="str">
        <f>MID(Indicadores[[#This Row],[CIIU]],2,4)</f>
        <v>6190</v>
      </c>
      <c r="B1158" s="13" t="str">
        <f>Indicadores[[#This Row],[CIIU]]&amp;Indicadores[[#This Row],[Año]]</f>
        <v>J61902018</v>
      </c>
      <c r="C1158" s="845" t="s">
        <v>3093</v>
      </c>
      <c r="D1158" s="845" t="s">
        <v>3130</v>
      </c>
      <c r="E1158" s="843">
        <v>2018</v>
      </c>
      <c r="F1158" s="844" t="s">
        <v>3140</v>
      </c>
      <c r="G1158" s="842" t="s">
        <v>3141</v>
      </c>
      <c r="H1158" s="843" t="s">
        <v>3142</v>
      </c>
      <c r="I1158" s="842" t="s">
        <v>3141</v>
      </c>
      <c r="J1158" s="840">
        <v>42423257</v>
      </c>
      <c r="K1158" s="840">
        <v>190934333</v>
      </c>
      <c r="L1158" s="841">
        <v>3800140908</v>
      </c>
      <c r="M1158" s="840">
        <v>4301890900</v>
      </c>
      <c r="N1158" s="839">
        <f>Indicadores[[#This Row],[Ventas]]/Indicadores[[#This Row],[Activos totales]]</f>
        <v>1.1320345755979004</v>
      </c>
      <c r="O1158" s="837">
        <f>IF(Indicadores[[#This Row],[Ventas]]=0,0,Indicadores[[#This Row],[EBITDA]]/Indicadores[[#This Row],[Ventas]])</f>
        <v>4.4383815730891736E-2</v>
      </c>
      <c r="P1158" s="837">
        <f>IF(Indicadores[[#This Row],[Ventas]]=0,0,Indicadores[[#This Row],[UAI]]/Indicadores[[#This Row],[Ventas]])</f>
        <v>9.8615371672954328E-3</v>
      </c>
      <c r="Q1158" s="837">
        <f>IFERROR(Indicadores[[#This Row],[Ventas]]/Indicadores[[#This Row],[Activos totales]],0)</f>
        <v>1.1320345755979004</v>
      </c>
    </row>
    <row r="1159" spans="1:17" hidden="1" x14ac:dyDescent="0.3">
      <c r="A1159" s="13" t="str">
        <f>MID(Indicadores[[#This Row],[CIIU]],2,4)</f>
        <v>6201</v>
      </c>
      <c r="B1159" s="13" t="str">
        <f>Indicadores[[#This Row],[CIIU]]&amp;Indicadores[[#This Row],[Año]]</f>
        <v>J62012018</v>
      </c>
      <c r="C1159" s="845" t="s">
        <v>3093</v>
      </c>
      <c r="D1159" s="845" t="s">
        <v>3143</v>
      </c>
      <c r="E1159" s="843">
        <v>2018</v>
      </c>
      <c r="F1159" s="844" t="s">
        <v>3144</v>
      </c>
      <c r="G1159" s="842" t="s">
        <v>3145</v>
      </c>
      <c r="H1159" s="843" t="s">
        <v>3146</v>
      </c>
      <c r="I1159" s="842" t="s">
        <v>3145</v>
      </c>
      <c r="J1159" s="840">
        <v>29065651</v>
      </c>
      <c r="K1159" s="840">
        <v>76718225</v>
      </c>
      <c r="L1159" s="841">
        <v>1581132011</v>
      </c>
      <c r="M1159" s="840">
        <v>1957680184</v>
      </c>
      <c r="N1159" s="839">
        <f>Indicadores[[#This Row],[Ventas]]/Indicadores[[#This Row],[Activos totales]]</f>
        <v>1.2381510021809305</v>
      </c>
      <c r="O1159" s="837">
        <f>IF(Indicadores[[#This Row],[Ventas]]=0,0,Indicadores[[#This Row],[EBITDA]]/Indicadores[[#This Row],[Ventas]])</f>
        <v>3.9188334043023645E-2</v>
      </c>
      <c r="P1159" s="837">
        <f>IF(Indicadores[[#This Row],[Ventas]]=0,0,Indicadores[[#This Row],[UAI]]/Indicadores[[#This Row],[Ventas]])</f>
        <v>1.4846986365572775E-2</v>
      </c>
      <c r="Q1159" s="837">
        <f>IFERROR(Indicadores[[#This Row],[Ventas]]/Indicadores[[#This Row],[Activos totales]],0)</f>
        <v>1.2381510021809305</v>
      </c>
    </row>
    <row r="1160" spans="1:17" hidden="1" x14ac:dyDescent="0.3">
      <c r="A1160" s="13" t="str">
        <f>MID(Indicadores[[#This Row],[CIIU]],2,4)</f>
        <v>6202</v>
      </c>
      <c r="B1160" s="13" t="str">
        <f>Indicadores[[#This Row],[CIIU]]&amp;Indicadores[[#This Row],[Año]]</f>
        <v>J62022018</v>
      </c>
      <c r="C1160" s="845" t="s">
        <v>3093</v>
      </c>
      <c r="D1160" s="845" t="s">
        <v>3143</v>
      </c>
      <c r="E1160" s="843">
        <v>2018</v>
      </c>
      <c r="F1160" s="844" t="s">
        <v>3147</v>
      </c>
      <c r="G1160" s="842" t="s">
        <v>3148</v>
      </c>
      <c r="H1160" s="843" t="s">
        <v>3149</v>
      </c>
      <c r="I1160" s="842" t="s">
        <v>3148</v>
      </c>
      <c r="J1160" s="840">
        <v>314467241</v>
      </c>
      <c r="K1160" s="840">
        <v>493230274</v>
      </c>
      <c r="L1160" s="841">
        <v>4016322920</v>
      </c>
      <c r="M1160" s="840">
        <v>5235889550</v>
      </c>
      <c r="N1160" s="839">
        <f>Indicadores[[#This Row],[Ventas]]/Indicadores[[#This Row],[Activos totales]]</f>
        <v>1.3036525334969828</v>
      </c>
      <c r="O1160" s="837">
        <f>IF(Indicadores[[#This Row],[Ventas]]=0,0,Indicadores[[#This Row],[EBITDA]]/Indicadores[[#This Row],[Ventas]])</f>
        <v>9.4201810273098679E-2</v>
      </c>
      <c r="P1160" s="837">
        <f>IF(Indicadores[[#This Row],[Ventas]]=0,0,Indicadores[[#This Row],[UAI]]/Indicadores[[#This Row],[Ventas]])</f>
        <v>6.0059945496749451E-2</v>
      </c>
      <c r="Q1160" s="837">
        <f>IFERROR(Indicadores[[#This Row],[Ventas]]/Indicadores[[#This Row],[Activos totales]],0)</f>
        <v>1.3036525334969828</v>
      </c>
    </row>
    <row r="1161" spans="1:17" hidden="1" x14ac:dyDescent="0.3">
      <c r="A1161" s="13" t="str">
        <f>MID(Indicadores[[#This Row],[CIIU]],2,4)</f>
        <v>6209</v>
      </c>
      <c r="B1161" s="13" t="str">
        <f>Indicadores[[#This Row],[CIIU]]&amp;Indicadores[[#This Row],[Año]]</f>
        <v>J62092018</v>
      </c>
      <c r="C1161" s="845" t="s">
        <v>3093</v>
      </c>
      <c r="D1161" s="845" t="s">
        <v>3143</v>
      </c>
      <c r="E1161" s="843">
        <v>2018</v>
      </c>
      <c r="F1161" s="844" t="s">
        <v>3150</v>
      </c>
      <c r="G1161" s="842" t="s">
        <v>3151</v>
      </c>
      <c r="H1161" s="843" t="s">
        <v>3152</v>
      </c>
      <c r="I1161" s="842" t="s">
        <v>3151</v>
      </c>
      <c r="J1161" s="840">
        <v>-92476553</v>
      </c>
      <c r="K1161" s="840">
        <v>-59179794</v>
      </c>
      <c r="L1161" s="841">
        <v>1339559733</v>
      </c>
      <c r="M1161" s="840">
        <v>1339762852</v>
      </c>
      <c r="N1161" s="839">
        <f>Indicadores[[#This Row],[Ventas]]/Indicadores[[#This Row],[Activos totales]]</f>
        <v>1.0001516311628338</v>
      </c>
      <c r="O1161" s="837">
        <f>IF(Indicadores[[#This Row],[Ventas]]=0,0,Indicadores[[#This Row],[EBITDA]]/Indicadores[[#This Row],[Ventas]])</f>
        <v>-4.4171842734448352E-2</v>
      </c>
      <c r="P1161" s="837">
        <f>IF(Indicadores[[#This Row],[Ventas]]=0,0,Indicadores[[#This Row],[UAI]]/Indicadores[[#This Row],[Ventas]])</f>
        <v>-6.9024568685384036E-2</v>
      </c>
      <c r="Q1161" s="837">
        <f>IFERROR(Indicadores[[#This Row],[Ventas]]/Indicadores[[#This Row],[Activos totales]],0)</f>
        <v>1.0001516311628338</v>
      </c>
    </row>
    <row r="1162" spans="1:17" hidden="1" x14ac:dyDescent="0.3">
      <c r="A1162" s="13" t="str">
        <f>MID(Indicadores[[#This Row],[CIIU]],2,4)</f>
        <v>6311</v>
      </c>
      <c r="B1162" s="13" t="str">
        <f>Indicadores[[#This Row],[CIIU]]&amp;Indicadores[[#This Row],[Año]]</f>
        <v>J63112018</v>
      </c>
      <c r="C1162" s="845" t="s">
        <v>3093</v>
      </c>
      <c r="D1162" s="845" t="s">
        <v>3153</v>
      </c>
      <c r="E1162" s="843">
        <v>2018</v>
      </c>
      <c r="F1162" s="844" t="s">
        <v>3154</v>
      </c>
      <c r="G1162" s="842" t="s">
        <v>3155</v>
      </c>
      <c r="H1162" s="843" t="s">
        <v>3156</v>
      </c>
      <c r="I1162" s="842" t="s">
        <v>3155</v>
      </c>
      <c r="J1162" s="840">
        <v>237328729</v>
      </c>
      <c r="K1162" s="840">
        <v>326196433</v>
      </c>
      <c r="L1162" s="841">
        <v>2246973169</v>
      </c>
      <c r="M1162" s="840">
        <v>1666071800</v>
      </c>
      <c r="N1162" s="839">
        <f>Indicadores[[#This Row],[Ventas]]/Indicadores[[#This Row],[Activos totales]]</f>
        <v>0.74147382932101225</v>
      </c>
      <c r="O1162" s="837">
        <f>IF(Indicadores[[#This Row],[Ventas]]=0,0,Indicadores[[#This Row],[EBITDA]]/Indicadores[[#This Row],[Ventas]])</f>
        <v>0.1957877403602894</v>
      </c>
      <c r="P1162" s="837">
        <f>IF(Indicadores[[#This Row],[Ventas]]=0,0,Indicadores[[#This Row],[UAI]]/Indicadores[[#This Row],[Ventas]])</f>
        <v>0.14244807996870243</v>
      </c>
      <c r="Q1162" s="837">
        <f>IFERROR(Indicadores[[#This Row],[Ventas]]/Indicadores[[#This Row],[Activos totales]],0)</f>
        <v>0.74147382932101225</v>
      </c>
    </row>
    <row r="1163" spans="1:17" hidden="1" x14ac:dyDescent="0.3">
      <c r="A1163" s="13" t="str">
        <f>MID(Indicadores[[#This Row],[CIIU]],2,4)</f>
        <v>6312</v>
      </c>
      <c r="B1163" s="13" t="str">
        <f>Indicadores[[#This Row],[CIIU]]&amp;Indicadores[[#This Row],[Año]]</f>
        <v>J63122018</v>
      </c>
      <c r="C1163" s="845" t="s">
        <v>3093</v>
      </c>
      <c r="D1163" s="845" t="s">
        <v>3153</v>
      </c>
      <c r="E1163" s="843">
        <v>2018</v>
      </c>
      <c r="F1163" s="844" t="s">
        <v>3157</v>
      </c>
      <c r="G1163" s="838" t="s">
        <v>3158</v>
      </c>
      <c r="H1163" s="843" t="s">
        <v>3159</v>
      </c>
      <c r="I1163" s="842" t="s">
        <v>3158</v>
      </c>
      <c r="J1163" s="840">
        <v>-9507181</v>
      </c>
      <c r="K1163" s="840">
        <v>-7695644</v>
      </c>
      <c r="L1163" s="841">
        <v>21186430</v>
      </c>
      <c r="M1163" s="840">
        <v>19423767</v>
      </c>
      <c r="N1163" s="839">
        <f>Indicadores[[#This Row],[Ventas]]/Indicadores[[#This Row],[Activos totales]]</f>
        <v>0.91680226446834134</v>
      </c>
      <c r="O1163" s="837">
        <f>IF(Indicadores[[#This Row],[Ventas]]=0,0,Indicadores[[#This Row],[EBITDA]]/Indicadores[[#This Row],[Ventas]])</f>
        <v>-0.39619729787738905</v>
      </c>
      <c r="P1163" s="837">
        <f>IF(Indicadores[[#This Row],[Ventas]]=0,0,Indicadores[[#This Row],[UAI]]/Indicadores[[#This Row],[Ventas]])</f>
        <v>-0.48946123581486539</v>
      </c>
      <c r="Q1163" s="837">
        <f>IFERROR(Indicadores[[#This Row],[Ventas]]/Indicadores[[#This Row],[Activos totales]],0)</f>
        <v>0.91680226446834134</v>
      </c>
    </row>
    <row r="1164" spans="1:17" hidden="1" x14ac:dyDescent="0.3">
      <c r="A1164" s="13" t="str">
        <f>MID(Indicadores[[#This Row],[CIIU]],2,4)</f>
        <v>6391</v>
      </c>
      <c r="B1164" s="13" t="str">
        <f>Indicadores[[#This Row],[CIIU]]&amp;Indicadores[[#This Row],[Año]]</f>
        <v>J63912018</v>
      </c>
      <c r="C1164" s="845" t="s">
        <v>3093</v>
      </c>
      <c r="D1164" s="845" t="s">
        <v>3153</v>
      </c>
      <c r="E1164" s="843">
        <v>2018</v>
      </c>
      <c r="F1164" s="844" t="s">
        <v>3160</v>
      </c>
      <c r="G1164" s="842" t="s">
        <v>3161</v>
      </c>
      <c r="H1164" s="843" t="s">
        <v>3162</v>
      </c>
      <c r="I1164" s="842" t="s">
        <v>3161</v>
      </c>
      <c r="J1164" s="840">
        <v>87877</v>
      </c>
      <c r="K1164" s="840">
        <v>1424534</v>
      </c>
      <c r="L1164" s="841">
        <v>13044186</v>
      </c>
      <c r="M1164" s="840">
        <v>7910688</v>
      </c>
      <c r="N1164" s="839">
        <f>Indicadores[[#This Row],[Ventas]]/Indicadores[[#This Row],[Activos totales]]</f>
        <v>0.6064531738507869</v>
      </c>
      <c r="O1164" s="837">
        <f>IF(Indicadores[[#This Row],[Ventas]]=0,0,Indicadores[[#This Row],[EBITDA]]/Indicadores[[#This Row],[Ventas]])</f>
        <v>0.18007713109150555</v>
      </c>
      <c r="P1164" s="837">
        <f>IF(Indicadores[[#This Row],[Ventas]]=0,0,Indicadores[[#This Row],[UAI]]/Indicadores[[#This Row],[Ventas]])</f>
        <v>1.1108641877925157E-2</v>
      </c>
      <c r="Q1164" s="837">
        <f>IFERROR(Indicadores[[#This Row],[Ventas]]/Indicadores[[#This Row],[Activos totales]],0)</f>
        <v>0.6064531738507869</v>
      </c>
    </row>
    <row r="1165" spans="1:17" hidden="1" x14ac:dyDescent="0.3">
      <c r="A1165" s="13" t="str">
        <f>MID(Indicadores[[#This Row],[CIIU]],2,4)</f>
        <v>6399</v>
      </c>
      <c r="B1165" s="13" t="str">
        <f>Indicadores[[#This Row],[CIIU]]&amp;Indicadores[[#This Row],[Año]]</f>
        <v>J63992018</v>
      </c>
      <c r="C1165" s="845" t="s">
        <v>3093</v>
      </c>
      <c r="D1165" s="845" t="s">
        <v>3153</v>
      </c>
      <c r="E1165" s="843">
        <v>2018</v>
      </c>
      <c r="F1165" s="844" t="s">
        <v>3163</v>
      </c>
      <c r="G1165" s="842" t="s">
        <v>3164</v>
      </c>
      <c r="H1165" s="843" t="s">
        <v>3165</v>
      </c>
      <c r="I1165" s="842" t="s">
        <v>3164</v>
      </c>
      <c r="J1165" s="840">
        <v>150199929</v>
      </c>
      <c r="K1165" s="840">
        <v>178711974</v>
      </c>
      <c r="L1165" s="841">
        <v>1135556152</v>
      </c>
      <c r="M1165" s="840">
        <v>320317625</v>
      </c>
      <c r="N1165" s="839">
        <f>Indicadores[[#This Row],[Ventas]]/Indicadores[[#This Row],[Activos totales]]</f>
        <v>0.28207995213256526</v>
      </c>
      <c r="O1165" s="837">
        <f>IF(Indicadores[[#This Row],[Ventas]]=0,0,Indicadores[[#This Row],[EBITDA]]/Indicadores[[#This Row],[Ventas]])</f>
        <v>0.55792113843251678</v>
      </c>
      <c r="P1165" s="837">
        <f>IF(Indicadores[[#This Row],[Ventas]]=0,0,Indicadores[[#This Row],[UAI]]/Indicadores[[#This Row],[Ventas]])</f>
        <v>0.46890934896261172</v>
      </c>
      <c r="Q1165" s="837">
        <f>IFERROR(Indicadores[[#This Row],[Ventas]]/Indicadores[[#This Row],[Activos totales]],0)</f>
        <v>0.28207995213256526</v>
      </c>
    </row>
    <row r="1166" spans="1:17" hidden="1" x14ac:dyDescent="0.3">
      <c r="A1166" s="13" t="str">
        <f>MID(Indicadores[[#This Row],[CIIU]],2,4)</f>
        <v>6421</v>
      </c>
      <c r="B1166" s="13" t="str">
        <f>Indicadores[[#This Row],[CIIU]]&amp;Indicadores[[#This Row],[Año]]</f>
        <v>K64212018</v>
      </c>
      <c r="C1166" s="845" t="s">
        <v>3166</v>
      </c>
      <c r="D1166" s="845" t="s">
        <v>3167</v>
      </c>
      <c r="E1166" s="843">
        <v>2018</v>
      </c>
      <c r="F1166" s="844" t="s">
        <v>3171</v>
      </c>
      <c r="G1166" s="842" t="s">
        <v>3172</v>
      </c>
      <c r="H1166" s="843" t="s">
        <v>3173</v>
      </c>
      <c r="I1166" s="842" t="s">
        <v>3172</v>
      </c>
      <c r="J1166" s="840">
        <v>315382</v>
      </c>
      <c r="K1166" s="840">
        <v>866573</v>
      </c>
      <c r="L1166" s="841">
        <v>6851526</v>
      </c>
      <c r="M1166" s="840">
        <v>5855191</v>
      </c>
      <c r="N1166" s="839">
        <f>Indicadores[[#This Row],[Ventas]]/Indicadores[[#This Row],[Activos totales]]</f>
        <v>0.85458203033893476</v>
      </c>
      <c r="O1166" s="837">
        <f>IF(Indicadores[[#This Row],[Ventas]]=0,0,Indicadores[[#This Row],[EBITDA]]/Indicadores[[#This Row],[Ventas]])</f>
        <v>0.14800080817175734</v>
      </c>
      <c r="P1166" s="837">
        <f>IF(Indicadores[[#This Row],[Ventas]]=0,0,Indicadores[[#This Row],[UAI]]/Indicadores[[#This Row],[Ventas]])</f>
        <v>5.3863657052348933E-2</v>
      </c>
      <c r="Q1166" s="837">
        <f>IFERROR(Indicadores[[#This Row],[Ventas]]/Indicadores[[#This Row],[Activos totales]],0)</f>
        <v>0.85458203033893476</v>
      </c>
    </row>
    <row r="1167" spans="1:17" hidden="1" x14ac:dyDescent="0.3">
      <c r="A1167" s="13" t="str">
        <f>MID(Indicadores[[#This Row],[CIIU]],2,4)</f>
        <v>6422</v>
      </c>
      <c r="B1167" s="13" t="str">
        <f>Indicadores[[#This Row],[CIIU]]&amp;Indicadores[[#This Row],[Año]]</f>
        <v>K64222018</v>
      </c>
      <c r="C1167" s="845" t="s">
        <v>3166</v>
      </c>
      <c r="D1167" s="845" t="s">
        <v>3167</v>
      </c>
      <c r="E1167" s="843">
        <v>2018</v>
      </c>
      <c r="F1167" s="844" t="s">
        <v>3174</v>
      </c>
      <c r="G1167" s="838" t="s">
        <v>3175</v>
      </c>
      <c r="H1167" s="843" t="s">
        <v>3176</v>
      </c>
      <c r="I1167" s="842" t="s">
        <v>3175</v>
      </c>
      <c r="J1167" s="840">
        <v>-13775310</v>
      </c>
      <c r="K1167" s="840">
        <v>-12602721</v>
      </c>
      <c r="L1167" s="841">
        <v>410282681</v>
      </c>
      <c r="M1167" s="840">
        <v>29764349</v>
      </c>
      <c r="N1167" s="839">
        <f>Indicadores[[#This Row],[Ventas]]/Indicadores[[#This Row],[Activos totales]]</f>
        <v>7.2545955211792135E-2</v>
      </c>
      <c r="O1167" s="837">
        <f>IF(Indicadores[[#This Row],[Ventas]]=0,0,Indicadores[[#This Row],[EBITDA]]/Indicadores[[#This Row],[Ventas]])</f>
        <v>-0.4234166519146782</v>
      </c>
      <c r="P1167" s="837">
        <f>IF(Indicadores[[#This Row],[Ventas]]=0,0,Indicadores[[#This Row],[UAI]]/Indicadores[[#This Row],[Ventas]])</f>
        <v>-0.46281240688314734</v>
      </c>
      <c r="Q1167" s="837">
        <f>IFERROR(Indicadores[[#This Row],[Ventas]]/Indicadores[[#This Row],[Activos totales]],0)</f>
        <v>7.2545955211792135E-2</v>
      </c>
    </row>
    <row r="1168" spans="1:17" hidden="1" x14ac:dyDescent="0.3">
      <c r="A1168" s="13" t="str">
        <f>MID(Indicadores[[#This Row],[CIIU]],2,4)</f>
        <v>6424</v>
      </c>
      <c r="B1168" s="13" t="str">
        <f>Indicadores[[#This Row],[CIIU]]&amp;Indicadores[[#This Row],[Año]]</f>
        <v>K64242018</v>
      </c>
      <c r="C1168" s="845" t="s">
        <v>3166</v>
      </c>
      <c r="D1168" s="845" t="s">
        <v>3167</v>
      </c>
      <c r="E1168" s="843">
        <v>2018</v>
      </c>
      <c r="F1168" s="844" t="s">
        <v>3180</v>
      </c>
      <c r="G1168" s="842" t="s">
        <v>3181</v>
      </c>
      <c r="H1168" s="843" t="s">
        <v>3182</v>
      </c>
      <c r="I1168" s="842" t="s">
        <v>3181</v>
      </c>
      <c r="J1168" s="840">
        <v>314069</v>
      </c>
      <c r="K1168" s="840">
        <v>314069</v>
      </c>
      <c r="L1168" s="841">
        <v>2526629</v>
      </c>
      <c r="M1168" s="840">
        <v>0</v>
      </c>
      <c r="N1168" s="839">
        <f>Indicadores[[#This Row],[Ventas]]/Indicadores[[#This Row],[Activos totales]]</f>
        <v>0</v>
      </c>
      <c r="O1168" s="837">
        <f>IF(Indicadores[[#This Row],[Ventas]]=0,0,Indicadores[[#This Row],[EBITDA]]/Indicadores[[#This Row],[Ventas]])</f>
        <v>0</v>
      </c>
      <c r="P1168" s="837">
        <f>IF(Indicadores[[#This Row],[Ventas]]=0,0,Indicadores[[#This Row],[UAI]]/Indicadores[[#This Row],[Ventas]])</f>
        <v>0</v>
      </c>
      <c r="Q1168" s="837">
        <f>IFERROR(Indicadores[[#This Row],[Ventas]]/Indicadores[[#This Row],[Activos totales]],0)</f>
        <v>0</v>
      </c>
    </row>
    <row r="1169" spans="1:17" hidden="1" x14ac:dyDescent="0.3">
      <c r="A1169" s="13" t="str">
        <f>MID(Indicadores[[#This Row],[CIIU]],2,4)</f>
        <v>6431</v>
      </c>
      <c r="B1169" s="13" t="str">
        <f>Indicadores[[#This Row],[CIIU]]&amp;Indicadores[[#This Row],[Año]]</f>
        <v>K64312018</v>
      </c>
      <c r="C1169" s="845" t="s">
        <v>3166</v>
      </c>
      <c r="D1169" s="845" t="s">
        <v>3167</v>
      </c>
      <c r="E1169" s="843">
        <v>2018</v>
      </c>
      <c r="F1169" s="844" t="s">
        <v>3183</v>
      </c>
      <c r="G1169" s="838" t="s">
        <v>3184</v>
      </c>
      <c r="H1169" s="843" t="s">
        <v>3185</v>
      </c>
      <c r="I1169" s="842" t="s">
        <v>3184</v>
      </c>
      <c r="J1169" s="840">
        <v>6714536</v>
      </c>
      <c r="K1169" s="840">
        <v>7457496</v>
      </c>
      <c r="L1169" s="841">
        <v>32396970</v>
      </c>
      <c r="M1169" s="840">
        <v>278616</v>
      </c>
      <c r="N1169" s="839">
        <f>Indicadores[[#This Row],[Ventas]]/Indicadores[[#This Row],[Activos totales]]</f>
        <v>8.6000635244592311E-3</v>
      </c>
      <c r="O1169" s="837">
        <f>IF(Indicadores[[#This Row],[Ventas]]=0,0,Indicadores[[#This Row],[EBITDA]]/Indicadores[[#This Row],[Ventas]])</f>
        <v>26.76621586699974</v>
      </c>
      <c r="P1169" s="837">
        <f>IF(Indicadores[[#This Row],[Ventas]]=0,0,Indicadores[[#This Row],[UAI]]/Indicadores[[#This Row],[Ventas]])</f>
        <v>24.099606627042238</v>
      </c>
      <c r="Q1169" s="837">
        <f>IFERROR(Indicadores[[#This Row],[Ventas]]/Indicadores[[#This Row],[Activos totales]],0)</f>
        <v>8.6000635244592311E-3</v>
      </c>
    </row>
    <row r="1170" spans="1:17" hidden="1" x14ac:dyDescent="0.3">
      <c r="A1170" s="13" t="str">
        <f>MID(Indicadores[[#This Row],[CIIU]],2,4)</f>
        <v>6493</v>
      </c>
      <c r="B1170" s="13" t="str">
        <f>Indicadores[[#This Row],[CIIU]]&amp;Indicadores[[#This Row],[Año]]</f>
        <v>K64932018</v>
      </c>
      <c r="C1170" s="845" t="s">
        <v>3166</v>
      </c>
      <c r="D1170" s="845" t="s">
        <v>3167</v>
      </c>
      <c r="E1170" s="843">
        <v>2018</v>
      </c>
      <c r="F1170" s="844" t="s">
        <v>3189</v>
      </c>
      <c r="G1170" s="842" t="s">
        <v>3190</v>
      </c>
      <c r="H1170" s="843" t="s">
        <v>3191</v>
      </c>
      <c r="I1170" s="842" t="s">
        <v>3190</v>
      </c>
      <c r="J1170" s="840">
        <v>29771321</v>
      </c>
      <c r="K1170" s="840">
        <v>61405293</v>
      </c>
      <c r="L1170" s="841">
        <v>2677971495</v>
      </c>
      <c r="M1170" s="840">
        <v>480746452</v>
      </c>
      <c r="N1170" s="839">
        <f>Indicadores[[#This Row],[Ventas]]/Indicadores[[#This Row],[Activos totales]]</f>
        <v>0.17951888319109985</v>
      </c>
      <c r="O1170" s="837">
        <f>IF(Indicadores[[#This Row],[Ventas]]=0,0,Indicadores[[#This Row],[EBITDA]]/Indicadores[[#This Row],[Ventas]])</f>
        <v>0.12772906122248406</v>
      </c>
      <c r="P1170" s="837">
        <f>IF(Indicadores[[#This Row],[Ventas]]=0,0,Indicadores[[#This Row],[UAI]]/Indicadores[[#This Row],[Ventas]])</f>
        <v>6.1927281784702595E-2</v>
      </c>
      <c r="Q1170" s="837">
        <f>IFERROR(Indicadores[[#This Row],[Ventas]]/Indicadores[[#This Row],[Activos totales]],0)</f>
        <v>0.17951888319109985</v>
      </c>
    </row>
    <row r="1171" spans="1:17" hidden="1" x14ac:dyDescent="0.3">
      <c r="A1171" s="13" t="str">
        <f>MID(Indicadores[[#This Row],[CIIU]],2,4)</f>
        <v>6494</v>
      </c>
      <c r="B1171" s="13" t="str">
        <f>Indicadores[[#This Row],[CIIU]]&amp;Indicadores[[#This Row],[Año]]</f>
        <v>K64942018</v>
      </c>
      <c r="C1171" s="845" t="s">
        <v>3166</v>
      </c>
      <c r="D1171" s="845" t="s">
        <v>3167</v>
      </c>
      <c r="E1171" s="843">
        <v>2018</v>
      </c>
      <c r="F1171" s="844" t="s">
        <v>3192</v>
      </c>
      <c r="G1171" s="842" t="s">
        <v>3193</v>
      </c>
      <c r="H1171" s="843" t="s">
        <v>3194</v>
      </c>
      <c r="I1171" s="842" t="s">
        <v>3193</v>
      </c>
      <c r="J1171" s="840">
        <v>4836036923</v>
      </c>
      <c r="K1171" s="840">
        <v>4844154702</v>
      </c>
      <c r="L1171" s="841">
        <v>47275333065</v>
      </c>
      <c r="M1171" s="840">
        <v>1456731663</v>
      </c>
      <c r="N1171" s="839">
        <f>Indicadores[[#This Row],[Ventas]]/Indicadores[[#This Row],[Activos totales]]</f>
        <v>3.0813778953119261E-2</v>
      </c>
      <c r="O1171" s="837">
        <f>IF(Indicadores[[#This Row],[Ventas]]=0,0,Indicadores[[#This Row],[EBITDA]]/Indicadores[[#This Row],[Ventas]])</f>
        <v>3.3253582832296824</v>
      </c>
      <c r="P1171" s="837">
        <f>IF(Indicadores[[#This Row],[Ventas]]=0,0,Indicadores[[#This Row],[UAI]]/Indicadores[[#This Row],[Ventas]])</f>
        <v>3.3197856858830423</v>
      </c>
      <c r="Q1171" s="837">
        <f>IFERROR(Indicadores[[#This Row],[Ventas]]/Indicadores[[#This Row],[Activos totales]],0)</f>
        <v>3.0813778953119261E-2</v>
      </c>
    </row>
    <row r="1172" spans="1:17" hidden="1" x14ac:dyDescent="0.3">
      <c r="A1172" s="13" t="str">
        <f>MID(Indicadores[[#This Row],[CIIU]],2,4)</f>
        <v>6495</v>
      </c>
      <c r="B1172" s="13" t="str">
        <f>Indicadores[[#This Row],[CIIU]]&amp;Indicadores[[#This Row],[Año]]</f>
        <v>K64952018</v>
      </c>
      <c r="C1172" s="845" t="s">
        <v>3166</v>
      </c>
      <c r="D1172" s="845" t="s">
        <v>3167</v>
      </c>
      <c r="E1172" s="843">
        <v>2018</v>
      </c>
      <c r="F1172" s="844" t="s">
        <v>3195</v>
      </c>
      <c r="G1172" s="838" t="s">
        <v>3196</v>
      </c>
      <c r="H1172" s="843" t="s">
        <v>3197</v>
      </c>
      <c r="I1172" s="842" t="s">
        <v>3196</v>
      </c>
      <c r="J1172" s="840">
        <v>3162030</v>
      </c>
      <c r="K1172" s="840">
        <v>3162298</v>
      </c>
      <c r="L1172" s="841">
        <v>108941339</v>
      </c>
      <c r="M1172" s="840">
        <v>12648632</v>
      </c>
      <c r="N1172" s="839">
        <f>Indicadores[[#This Row],[Ventas]]/Indicadores[[#This Row],[Activos totales]]</f>
        <v>0.11610498013063709</v>
      </c>
      <c r="O1172" s="837">
        <f>IF(Indicadores[[#This Row],[Ventas]]=0,0,Indicadores[[#This Row],[EBITDA]]/Indicadores[[#This Row],[Ventas]])</f>
        <v>0.25001106839063703</v>
      </c>
      <c r="P1172" s="837">
        <f>IF(Indicadores[[#This Row],[Ventas]]=0,0,Indicadores[[#This Row],[UAI]]/Indicadores[[#This Row],[Ventas]])</f>
        <v>0.24998988032856043</v>
      </c>
      <c r="Q1172" s="837">
        <f>IFERROR(Indicadores[[#This Row],[Ventas]]/Indicadores[[#This Row],[Activos totales]],0)</f>
        <v>0.11610498013063709</v>
      </c>
    </row>
    <row r="1173" spans="1:17" hidden="1" x14ac:dyDescent="0.3">
      <c r="A1173" s="13" t="str">
        <f>MID(Indicadores[[#This Row],[CIIU]],2,4)</f>
        <v>6499</v>
      </c>
      <c r="B1173" s="13" t="str">
        <f>Indicadores[[#This Row],[CIIU]]&amp;Indicadores[[#This Row],[Año]]</f>
        <v>K64992018</v>
      </c>
      <c r="C1173" s="845" t="s">
        <v>3166</v>
      </c>
      <c r="D1173" s="845" t="s">
        <v>3167</v>
      </c>
      <c r="E1173" s="843">
        <v>2018</v>
      </c>
      <c r="F1173" s="844" t="s">
        <v>3198</v>
      </c>
      <c r="G1173" s="842" t="s">
        <v>3199</v>
      </c>
      <c r="H1173" s="843" t="s">
        <v>3200</v>
      </c>
      <c r="I1173" s="842" t="s">
        <v>3199</v>
      </c>
      <c r="J1173" s="840">
        <v>1277828317</v>
      </c>
      <c r="K1173" s="840">
        <v>1306568544</v>
      </c>
      <c r="L1173" s="841">
        <v>28522492600</v>
      </c>
      <c r="M1173" s="840">
        <v>2725490336</v>
      </c>
      <c r="N1173" s="839">
        <f>Indicadores[[#This Row],[Ventas]]/Indicadores[[#This Row],[Activos totales]]</f>
        <v>9.555582586074543E-2</v>
      </c>
      <c r="O1173" s="837">
        <f>IF(Indicadores[[#This Row],[Ventas]]=0,0,Indicadores[[#This Row],[EBITDA]]/Indicadores[[#This Row],[Ventas]])</f>
        <v>0.47938843397902253</v>
      </c>
      <c r="P1173" s="837">
        <f>IF(Indicadores[[#This Row],[Ventas]]=0,0,Indicadores[[#This Row],[UAI]]/Indicadores[[#This Row],[Ventas]])</f>
        <v>0.46884345914628112</v>
      </c>
      <c r="Q1173" s="837">
        <f>IFERROR(Indicadores[[#This Row],[Ventas]]/Indicadores[[#This Row],[Activos totales]],0)</f>
        <v>9.555582586074543E-2</v>
      </c>
    </row>
    <row r="1174" spans="1:17" hidden="1" x14ac:dyDescent="0.3">
      <c r="A1174" s="13" t="str">
        <f>MID(Indicadores[[#This Row],[CIIU]],2,4)</f>
        <v>6513</v>
      </c>
      <c r="B1174" s="13" t="str">
        <f>Indicadores[[#This Row],[CIIU]]&amp;Indicadores[[#This Row],[Año]]</f>
        <v>K65132018</v>
      </c>
      <c r="C1174" s="845" t="s">
        <v>3166</v>
      </c>
      <c r="D1174" s="845" t="s">
        <v>3201</v>
      </c>
      <c r="E1174" s="843">
        <v>2018</v>
      </c>
      <c r="F1174" s="844" t="s">
        <v>3573</v>
      </c>
      <c r="G1174" s="842" t="s">
        <v>3574</v>
      </c>
      <c r="H1174" s="843" t="s">
        <v>3575</v>
      </c>
      <c r="I1174" s="842" t="s">
        <v>3574</v>
      </c>
      <c r="J1174" s="840">
        <v>4703176</v>
      </c>
      <c r="K1174" s="840">
        <v>4703176</v>
      </c>
      <c r="L1174" s="841">
        <v>167953622</v>
      </c>
      <c r="M1174" s="840">
        <v>7950208</v>
      </c>
      <c r="N1174" s="839">
        <f>Indicadores[[#This Row],[Ventas]]/Indicadores[[#This Row],[Activos totales]]</f>
        <v>4.7335734146894431E-2</v>
      </c>
      <c r="O1174" s="837">
        <f>IF(Indicadores[[#This Row],[Ventas]]=0,0,Indicadores[[#This Row],[EBITDA]]/Indicadores[[#This Row],[Ventas]])</f>
        <v>0.59157898761894023</v>
      </c>
      <c r="P1174" s="837">
        <f>IF(Indicadores[[#This Row],[Ventas]]=0,0,Indicadores[[#This Row],[UAI]]/Indicadores[[#This Row],[Ventas]])</f>
        <v>0.59157898761894023</v>
      </c>
      <c r="Q1174" s="837">
        <f>IFERROR(Indicadores[[#This Row],[Ventas]]/Indicadores[[#This Row],[Activos totales]],0)</f>
        <v>4.7335734146894431E-2</v>
      </c>
    </row>
    <row r="1175" spans="1:17" hidden="1" x14ac:dyDescent="0.3">
      <c r="A1175" s="13" t="str">
        <f>MID(Indicadores[[#This Row],[CIIU]],2,4)</f>
        <v>6514</v>
      </c>
      <c r="B1175" s="13" t="str">
        <f>Indicadores[[#This Row],[CIIU]]&amp;Indicadores[[#This Row],[Año]]</f>
        <v>K65142018</v>
      </c>
      <c r="C1175" s="845" t="s">
        <v>3166</v>
      </c>
      <c r="D1175" s="845" t="s">
        <v>3201</v>
      </c>
      <c r="E1175" s="843">
        <v>2018</v>
      </c>
      <c r="F1175" s="844" t="s">
        <v>3206</v>
      </c>
      <c r="G1175" s="842" t="s">
        <v>3207</v>
      </c>
      <c r="H1175" s="843" t="s">
        <v>3208</v>
      </c>
      <c r="I1175" s="842" t="s">
        <v>3207</v>
      </c>
      <c r="J1175" s="840">
        <v>5802178</v>
      </c>
      <c r="K1175" s="840">
        <v>6431634</v>
      </c>
      <c r="L1175" s="841">
        <v>198568325</v>
      </c>
      <c r="M1175" s="840">
        <v>19974976</v>
      </c>
      <c r="N1175" s="839">
        <f>Indicadores[[#This Row],[Ventas]]/Indicadores[[#This Row],[Activos totales]]</f>
        <v>0.10059497656537114</v>
      </c>
      <c r="O1175" s="837">
        <f>IF(Indicadores[[#This Row],[Ventas]]=0,0,Indicadores[[#This Row],[EBITDA]]/Indicadores[[#This Row],[Ventas]])</f>
        <v>0.32198456709034345</v>
      </c>
      <c r="P1175" s="837">
        <f>IF(Indicadores[[#This Row],[Ventas]]=0,0,Indicadores[[#This Row],[UAI]]/Indicadores[[#This Row],[Ventas]])</f>
        <v>0.29047233899054498</v>
      </c>
      <c r="Q1175" s="837">
        <f>IFERROR(Indicadores[[#This Row],[Ventas]]/Indicadores[[#This Row],[Activos totales]],0)</f>
        <v>0.10059497656537114</v>
      </c>
    </row>
    <row r="1176" spans="1:17" hidden="1" x14ac:dyDescent="0.3">
      <c r="A1176" s="13" t="str">
        <f>MID(Indicadores[[#This Row],[CIIU]],2,4)</f>
        <v>6521</v>
      </c>
      <c r="B1176" s="13" t="str">
        <f>Indicadores[[#This Row],[CIIU]]&amp;Indicadores[[#This Row],[Año]]</f>
        <v>K65212018</v>
      </c>
      <c r="C1176" s="845" t="s">
        <v>3166</v>
      </c>
      <c r="D1176" s="845" t="s">
        <v>3201</v>
      </c>
      <c r="E1176" s="843">
        <v>2018</v>
      </c>
      <c r="F1176" s="844" t="s">
        <v>3209</v>
      </c>
      <c r="G1176" s="842" t="s">
        <v>3210</v>
      </c>
      <c r="H1176" s="843" t="s">
        <v>3211</v>
      </c>
      <c r="I1176" s="842" t="s">
        <v>3210</v>
      </c>
      <c r="J1176" s="840">
        <v>-2772746</v>
      </c>
      <c r="K1176" s="840">
        <v>-2683186</v>
      </c>
      <c r="L1176" s="841">
        <v>30239680</v>
      </c>
      <c r="M1176" s="840">
        <v>1526248</v>
      </c>
      <c r="N1176" s="839">
        <f>Indicadores[[#This Row],[Ventas]]/Indicadores[[#This Row],[Activos totales]]</f>
        <v>5.047169811320755E-2</v>
      </c>
      <c r="O1176" s="837">
        <f>IF(Indicadores[[#This Row],[Ventas]]=0,0,Indicadores[[#This Row],[EBITDA]]/Indicadores[[#This Row],[Ventas]])</f>
        <v>-1.7580275289468028</v>
      </c>
      <c r="P1176" s="837">
        <f>IF(Indicadores[[#This Row],[Ventas]]=0,0,Indicadores[[#This Row],[UAI]]/Indicadores[[#This Row],[Ventas]])</f>
        <v>-1.8167073765207227</v>
      </c>
      <c r="Q1176" s="837">
        <f>IFERROR(Indicadores[[#This Row],[Ventas]]/Indicadores[[#This Row],[Activos totales]],0)</f>
        <v>5.047169811320755E-2</v>
      </c>
    </row>
    <row r="1177" spans="1:17" hidden="1" x14ac:dyDescent="0.3">
      <c r="A1177" s="13" t="str">
        <f>MID(Indicadores[[#This Row],[CIIU]],2,4)</f>
        <v>6611</v>
      </c>
      <c r="B1177" s="13" t="str">
        <f>Indicadores[[#This Row],[CIIU]]&amp;Indicadores[[#This Row],[Año]]</f>
        <v>K66112018</v>
      </c>
      <c r="C1177" s="845" t="s">
        <v>3166</v>
      </c>
      <c r="D1177" s="845" t="s">
        <v>3218</v>
      </c>
      <c r="E1177" s="843">
        <v>2018</v>
      </c>
      <c r="F1177" s="844" t="s">
        <v>3219</v>
      </c>
      <c r="G1177" s="842" t="s">
        <v>3220</v>
      </c>
      <c r="H1177" s="843" t="s">
        <v>3221</v>
      </c>
      <c r="I1177" s="842" t="s">
        <v>3220</v>
      </c>
      <c r="J1177" s="840">
        <v>25972614</v>
      </c>
      <c r="K1177" s="840">
        <v>26107531</v>
      </c>
      <c r="L1177" s="841">
        <v>451638735</v>
      </c>
      <c r="M1177" s="840">
        <v>27308198</v>
      </c>
      <c r="N1177" s="839">
        <f>Indicadores[[#This Row],[Ventas]]/Indicadores[[#This Row],[Activos totales]]</f>
        <v>6.046469419856116E-2</v>
      </c>
      <c r="O1177" s="837">
        <f>IF(Indicadores[[#This Row],[Ventas]]=0,0,Indicadores[[#This Row],[EBITDA]]/Indicadores[[#This Row],[Ventas]])</f>
        <v>0.95603272687564367</v>
      </c>
      <c r="P1177" s="837">
        <f>IF(Indicadores[[#This Row],[Ventas]]=0,0,Indicadores[[#This Row],[UAI]]/Indicadores[[#This Row],[Ventas]])</f>
        <v>0.95109219583071725</v>
      </c>
      <c r="Q1177" s="837">
        <f>IFERROR(Indicadores[[#This Row],[Ventas]]/Indicadores[[#This Row],[Activos totales]],0)</f>
        <v>6.046469419856116E-2</v>
      </c>
    </row>
    <row r="1178" spans="1:17" hidden="1" x14ac:dyDescent="0.3">
      <c r="A1178" s="13" t="str">
        <f>MID(Indicadores[[#This Row],[CIIU]],2,4)</f>
        <v>6612</v>
      </c>
      <c r="B1178" s="13" t="str">
        <f>Indicadores[[#This Row],[CIIU]]&amp;Indicadores[[#This Row],[Año]]</f>
        <v>K66122018</v>
      </c>
      <c r="C1178" s="845" t="s">
        <v>3166</v>
      </c>
      <c r="D1178" s="845" t="s">
        <v>3218</v>
      </c>
      <c r="E1178" s="843">
        <v>2018</v>
      </c>
      <c r="F1178" s="844" t="s">
        <v>3222</v>
      </c>
      <c r="G1178" s="842" t="s">
        <v>3223</v>
      </c>
      <c r="H1178" s="843" t="s">
        <v>3224</v>
      </c>
      <c r="I1178" s="842" t="s">
        <v>3223</v>
      </c>
      <c r="J1178" s="840">
        <v>1276147</v>
      </c>
      <c r="K1178" s="840">
        <v>1276147</v>
      </c>
      <c r="L1178" s="841">
        <v>22259146</v>
      </c>
      <c r="M1178" s="840">
        <v>1383114</v>
      </c>
      <c r="N1178" s="839">
        <f>Indicadores[[#This Row],[Ventas]]/Indicadores[[#This Row],[Activos totales]]</f>
        <v>6.2136885215632265E-2</v>
      </c>
      <c r="O1178" s="837">
        <f>IF(Indicadores[[#This Row],[Ventas]]=0,0,Indicadores[[#This Row],[EBITDA]]/Indicadores[[#This Row],[Ventas]])</f>
        <v>0.92266219559631379</v>
      </c>
      <c r="P1178" s="837">
        <f>IF(Indicadores[[#This Row],[Ventas]]=0,0,Indicadores[[#This Row],[UAI]]/Indicadores[[#This Row],[Ventas]])</f>
        <v>0.92266219559631379</v>
      </c>
      <c r="Q1178" s="837">
        <f>IFERROR(Indicadores[[#This Row],[Ventas]]/Indicadores[[#This Row],[Activos totales]],0)</f>
        <v>6.2136885215632265E-2</v>
      </c>
    </row>
    <row r="1179" spans="1:17" hidden="1" x14ac:dyDescent="0.3">
      <c r="A1179" s="13" t="str">
        <f>MID(Indicadores[[#This Row],[CIIU]],2,4)</f>
        <v>6613</v>
      </c>
      <c r="B1179" s="13" t="str">
        <f>Indicadores[[#This Row],[CIIU]]&amp;Indicadores[[#This Row],[Año]]</f>
        <v>K66132018</v>
      </c>
      <c r="C1179" s="845" t="s">
        <v>3166</v>
      </c>
      <c r="D1179" s="845" t="s">
        <v>3218</v>
      </c>
      <c r="E1179" s="843">
        <v>2018</v>
      </c>
      <c r="F1179" s="844" t="s">
        <v>3225</v>
      </c>
      <c r="G1179" s="842" t="s">
        <v>3226</v>
      </c>
      <c r="H1179" s="843" t="s">
        <v>3227</v>
      </c>
      <c r="I1179" s="842" t="s">
        <v>3226</v>
      </c>
      <c r="J1179" s="840">
        <v>2603072026</v>
      </c>
      <c r="K1179" s="840">
        <v>2624450056</v>
      </c>
      <c r="L1179" s="841">
        <v>44792983082</v>
      </c>
      <c r="M1179" s="840">
        <v>2479189084</v>
      </c>
      <c r="N1179" s="839">
        <f>Indicadores[[#This Row],[Ventas]]/Indicadores[[#This Row],[Activos totales]]</f>
        <v>5.5347711034594141E-2</v>
      </c>
      <c r="O1179" s="837">
        <f>IF(Indicadores[[#This Row],[Ventas]]=0,0,Indicadores[[#This Row],[EBITDA]]/Indicadores[[#This Row],[Ventas]])</f>
        <v>1.0585921311679993</v>
      </c>
      <c r="P1179" s="837">
        <f>IF(Indicadores[[#This Row],[Ventas]]=0,0,Indicadores[[#This Row],[UAI]]/Indicadores[[#This Row],[Ventas]])</f>
        <v>1.0499691382151954</v>
      </c>
      <c r="Q1179" s="837">
        <f>IFERROR(Indicadores[[#This Row],[Ventas]]/Indicadores[[#This Row],[Activos totales]],0)</f>
        <v>5.5347711034594141E-2</v>
      </c>
    </row>
    <row r="1180" spans="1:17" hidden="1" x14ac:dyDescent="0.3">
      <c r="A1180" s="13" t="str">
        <f>MID(Indicadores[[#This Row],[CIIU]],2,4)</f>
        <v>6615</v>
      </c>
      <c r="B1180" s="13" t="str">
        <f>Indicadores[[#This Row],[CIIU]]&amp;Indicadores[[#This Row],[Año]]</f>
        <v>K66152018</v>
      </c>
      <c r="C1180" s="845" t="s">
        <v>3166</v>
      </c>
      <c r="D1180" s="845" t="s">
        <v>3218</v>
      </c>
      <c r="E1180" s="843">
        <v>2018</v>
      </c>
      <c r="F1180" s="844" t="s">
        <v>3231</v>
      </c>
      <c r="G1180" s="842" t="s">
        <v>3232</v>
      </c>
      <c r="H1180" s="843" t="s">
        <v>3233</v>
      </c>
      <c r="I1180" s="842" t="s">
        <v>3232</v>
      </c>
      <c r="J1180" s="840">
        <v>14569933</v>
      </c>
      <c r="K1180" s="840">
        <v>15885605</v>
      </c>
      <c r="L1180" s="841">
        <v>454540999</v>
      </c>
      <c r="M1180" s="840">
        <v>61068016</v>
      </c>
      <c r="N1180" s="839">
        <f>Indicadores[[#This Row],[Ventas]]/Indicadores[[#This Row],[Activos totales]]</f>
        <v>0.13435095213490303</v>
      </c>
      <c r="O1180" s="837">
        <f>IF(Indicadores[[#This Row],[Ventas]]=0,0,Indicadores[[#This Row],[EBITDA]]/Indicadores[[#This Row],[Ventas]])</f>
        <v>0.26012970521262718</v>
      </c>
      <c r="P1180" s="837">
        <f>IF(Indicadores[[#This Row],[Ventas]]=0,0,Indicadores[[#This Row],[UAI]]/Indicadores[[#This Row],[Ventas]])</f>
        <v>0.23858533409698457</v>
      </c>
      <c r="Q1180" s="837">
        <f>IFERROR(Indicadores[[#This Row],[Ventas]]/Indicadores[[#This Row],[Activos totales]],0)</f>
        <v>0.13435095213490303</v>
      </c>
    </row>
    <row r="1181" spans="1:17" hidden="1" x14ac:dyDescent="0.3">
      <c r="A1181" s="13" t="str">
        <f>MID(Indicadores[[#This Row],[CIIU]],2,4)</f>
        <v>6619</v>
      </c>
      <c r="B1181" s="13" t="str">
        <f>Indicadores[[#This Row],[CIIU]]&amp;Indicadores[[#This Row],[Año]]</f>
        <v>K66192018</v>
      </c>
      <c r="C1181" s="845" t="s">
        <v>3166</v>
      </c>
      <c r="D1181" s="845" t="s">
        <v>3218</v>
      </c>
      <c r="E1181" s="843">
        <v>2018</v>
      </c>
      <c r="F1181" s="844" t="s">
        <v>3234</v>
      </c>
      <c r="G1181" s="842" t="s">
        <v>3235</v>
      </c>
      <c r="H1181" s="843" t="s">
        <v>3236</v>
      </c>
      <c r="I1181" s="842" t="s">
        <v>3235</v>
      </c>
      <c r="J1181" s="840">
        <v>249445124</v>
      </c>
      <c r="K1181" s="840">
        <v>256567882</v>
      </c>
      <c r="L1181" s="841">
        <v>4855131379</v>
      </c>
      <c r="M1181" s="840">
        <v>1002189148</v>
      </c>
      <c r="N1181" s="839">
        <f>Indicadores[[#This Row],[Ventas]]/Indicadores[[#This Row],[Activos totales]]</f>
        <v>0.2064185435506008</v>
      </c>
      <c r="O1181" s="837">
        <f>IF(Indicadores[[#This Row],[Ventas]]=0,0,Indicadores[[#This Row],[EBITDA]]/Indicadores[[#This Row],[Ventas]])</f>
        <v>0.25600744381638424</v>
      </c>
      <c r="P1181" s="837">
        <f>IF(Indicadores[[#This Row],[Ventas]]=0,0,Indicadores[[#This Row],[UAI]]/Indicadores[[#This Row],[Ventas]])</f>
        <v>0.24890024452749313</v>
      </c>
      <c r="Q1181" s="837">
        <f>IFERROR(Indicadores[[#This Row],[Ventas]]/Indicadores[[#This Row],[Activos totales]],0)</f>
        <v>0.2064185435506008</v>
      </c>
    </row>
    <row r="1182" spans="1:17" hidden="1" x14ac:dyDescent="0.3">
      <c r="A1182" s="13" t="str">
        <f>MID(Indicadores[[#This Row],[CIIU]],2,4)</f>
        <v>6621</v>
      </c>
      <c r="B1182" s="13" t="str">
        <f>Indicadores[[#This Row],[CIIU]]&amp;Indicadores[[#This Row],[Año]]</f>
        <v>K66212018</v>
      </c>
      <c r="C1182" s="845" t="s">
        <v>3166</v>
      </c>
      <c r="D1182" s="845" t="s">
        <v>3218</v>
      </c>
      <c r="E1182" s="843">
        <v>2018</v>
      </c>
      <c r="F1182" s="844" t="s">
        <v>3237</v>
      </c>
      <c r="G1182" s="842" t="s">
        <v>3238</v>
      </c>
      <c r="H1182" s="843" t="s">
        <v>3239</v>
      </c>
      <c r="I1182" s="842" t="s">
        <v>3238</v>
      </c>
      <c r="J1182" s="840">
        <v>12505761</v>
      </c>
      <c r="K1182" s="840">
        <v>13322671</v>
      </c>
      <c r="L1182" s="841">
        <v>71237296</v>
      </c>
      <c r="M1182" s="840">
        <v>39890688</v>
      </c>
      <c r="N1182" s="839">
        <f>Indicadores[[#This Row],[Ventas]]/Indicadores[[#This Row],[Activos totales]]</f>
        <v>0.5599691487447811</v>
      </c>
      <c r="O1182" s="837">
        <f>IF(Indicadores[[#This Row],[Ventas]]=0,0,Indicadores[[#This Row],[EBITDA]]/Indicadores[[#This Row],[Ventas]])</f>
        <v>0.33397947410683915</v>
      </c>
      <c r="P1182" s="837">
        <f>IF(Indicadores[[#This Row],[Ventas]]=0,0,Indicadores[[#This Row],[UAI]]/Indicadores[[#This Row],[Ventas]])</f>
        <v>0.31350075987659076</v>
      </c>
      <c r="Q1182" s="837">
        <f>IFERROR(Indicadores[[#This Row],[Ventas]]/Indicadores[[#This Row],[Activos totales]],0)</f>
        <v>0.5599691487447811</v>
      </c>
    </row>
    <row r="1183" spans="1:17" hidden="1" x14ac:dyDescent="0.3">
      <c r="A1183" s="13" t="str">
        <f>MID(Indicadores[[#This Row],[CIIU]],2,4)</f>
        <v>6629</v>
      </c>
      <c r="B1183" s="13" t="str">
        <f>Indicadores[[#This Row],[CIIU]]&amp;Indicadores[[#This Row],[Año]]</f>
        <v>K66292018</v>
      </c>
      <c r="C1183" s="845" t="s">
        <v>3166</v>
      </c>
      <c r="D1183" s="845" t="s">
        <v>3218</v>
      </c>
      <c r="E1183" s="843">
        <v>2018</v>
      </c>
      <c r="F1183" s="844" t="s">
        <v>3240</v>
      </c>
      <c r="G1183" s="838" t="s">
        <v>3241</v>
      </c>
      <c r="H1183" s="843" t="s">
        <v>3242</v>
      </c>
      <c r="I1183" s="842" t="s">
        <v>3241</v>
      </c>
      <c r="J1183" s="840">
        <v>2944007</v>
      </c>
      <c r="K1183" s="840">
        <v>2944007</v>
      </c>
      <c r="L1183" s="841">
        <v>715115478</v>
      </c>
      <c r="M1183" s="840">
        <v>1841944</v>
      </c>
      <c r="N1183" s="839">
        <f>Indicadores[[#This Row],[Ventas]]/Indicadores[[#This Row],[Activos totales]]</f>
        <v>2.5757294544252614E-3</v>
      </c>
      <c r="O1183" s="837">
        <f>IF(Indicadores[[#This Row],[Ventas]]=0,0,Indicadores[[#This Row],[EBITDA]]/Indicadores[[#This Row],[Ventas]])</f>
        <v>1.5983151496462433</v>
      </c>
      <c r="P1183" s="837">
        <f>IF(Indicadores[[#This Row],[Ventas]]=0,0,Indicadores[[#This Row],[UAI]]/Indicadores[[#This Row],[Ventas]])</f>
        <v>1.5983151496462433</v>
      </c>
      <c r="Q1183" s="837">
        <f>IFERROR(Indicadores[[#This Row],[Ventas]]/Indicadores[[#This Row],[Activos totales]],0)</f>
        <v>2.5757294544252614E-3</v>
      </c>
    </row>
    <row r="1184" spans="1:17" hidden="1" x14ac:dyDescent="0.3">
      <c r="A1184" s="13" t="str">
        <f>MID(Indicadores[[#This Row],[CIIU]],2,4)</f>
        <v>6630</v>
      </c>
      <c r="B1184" s="13" t="str">
        <f>Indicadores[[#This Row],[CIIU]]&amp;Indicadores[[#This Row],[Año]]</f>
        <v>K66302018</v>
      </c>
      <c r="C1184" s="845" t="s">
        <v>3166</v>
      </c>
      <c r="D1184" s="845" t="s">
        <v>3218</v>
      </c>
      <c r="E1184" s="843">
        <v>2018</v>
      </c>
      <c r="F1184" s="844" t="s">
        <v>3243</v>
      </c>
      <c r="G1184" s="842" t="s">
        <v>3244</v>
      </c>
      <c r="H1184" s="843" t="s">
        <v>3245</v>
      </c>
      <c r="I1184" s="842" t="s">
        <v>3244</v>
      </c>
      <c r="J1184" s="840">
        <v>7838381</v>
      </c>
      <c r="K1184" s="840">
        <v>8557959</v>
      </c>
      <c r="L1184" s="841">
        <v>430329077</v>
      </c>
      <c r="M1184" s="840">
        <v>60722031</v>
      </c>
      <c r="N1184" s="839">
        <f>Indicadores[[#This Row],[Ventas]]/Indicadores[[#This Row],[Activos totales]]</f>
        <v>0.14110603778698413</v>
      </c>
      <c r="O1184" s="837">
        <f>IF(Indicadores[[#This Row],[Ventas]]=0,0,Indicadores[[#This Row],[EBITDA]]/Indicadores[[#This Row],[Ventas]])</f>
        <v>0.14093663961931707</v>
      </c>
      <c r="P1184" s="837">
        <f>IF(Indicadores[[#This Row],[Ventas]]=0,0,Indicadores[[#This Row],[UAI]]/Indicadores[[#This Row],[Ventas]])</f>
        <v>0.12908627842174777</v>
      </c>
      <c r="Q1184" s="837">
        <f>IFERROR(Indicadores[[#This Row],[Ventas]]/Indicadores[[#This Row],[Activos totales]],0)</f>
        <v>0.14110603778698413</v>
      </c>
    </row>
    <row r="1185" spans="1:17" hidden="1" x14ac:dyDescent="0.3">
      <c r="A1185" s="13" t="str">
        <f>MID(Indicadores[[#This Row],[CIIU]],2,4)</f>
        <v>6810</v>
      </c>
      <c r="B1185" s="13" t="str">
        <f>Indicadores[[#This Row],[CIIU]]&amp;Indicadores[[#This Row],[Año]]</f>
        <v>L68102018</v>
      </c>
      <c r="C1185" s="845" t="s">
        <v>3246</v>
      </c>
      <c r="D1185" s="845" t="s">
        <v>3247</v>
      </c>
      <c r="E1185" s="843">
        <v>2018</v>
      </c>
      <c r="F1185" s="844" t="s">
        <v>3248</v>
      </c>
      <c r="G1185" s="842" t="s">
        <v>3249</v>
      </c>
      <c r="H1185" s="843" t="s">
        <v>3250</v>
      </c>
      <c r="I1185" s="842" t="s">
        <v>3249</v>
      </c>
      <c r="J1185" s="840">
        <v>2723018264</v>
      </c>
      <c r="K1185" s="840">
        <v>3037281689</v>
      </c>
      <c r="L1185" s="841">
        <v>81608795158</v>
      </c>
      <c r="M1185" s="840">
        <v>5838728956</v>
      </c>
      <c r="N1185" s="839">
        <f>Indicadores[[#This Row],[Ventas]]/Indicadores[[#This Row],[Activos totales]]</f>
        <v>7.154533950287878E-2</v>
      </c>
      <c r="O1185" s="837">
        <f>IF(Indicadores[[#This Row],[Ventas]]=0,0,Indicadores[[#This Row],[EBITDA]]/Indicadores[[#This Row],[Ventas]])</f>
        <v>0.52019569873659333</v>
      </c>
      <c r="P1185" s="837">
        <f>IF(Indicadores[[#This Row],[Ventas]]=0,0,Indicadores[[#This Row],[UAI]]/Indicadores[[#This Row],[Ventas]])</f>
        <v>0.46637175394171526</v>
      </c>
      <c r="Q1185" s="837">
        <f>IFERROR(Indicadores[[#This Row],[Ventas]]/Indicadores[[#This Row],[Activos totales]],0)</f>
        <v>7.154533950287878E-2</v>
      </c>
    </row>
    <row r="1186" spans="1:17" hidden="1" x14ac:dyDescent="0.3">
      <c r="A1186" s="13" t="str">
        <f>MID(Indicadores[[#This Row],[CIIU]],2,4)</f>
        <v>6820</v>
      </c>
      <c r="B1186" s="13" t="str">
        <f>Indicadores[[#This Row],[CIIU]]&amp;Indicadores[[#This Row],[Año]]</f>
        <v>L68202018</v>
      </c>
      <c r="C1186" s="845" t="s">
        <v>3246</v>
      </c>
      <c r="D1186" s="845" t="s">
        <v>3247</v>
      </c>
      <c r="E1186" s="843">
        <v>2018</v>
      </c>
      <c r="F1186" s="844" t="s">
        <v>3251</v>
      </c>
      <c r="G1186" s="842" t="s">
        <v>3252</v>
      </c>
      <c r="H1186" s="843" t="s">
        <v>3253</v>
      </c>
      <c r="I1186" s="842" t="s">
        <v>3254</v>
      </c>
      <c r="J1186" s="840">
        <v>190445847</v>
      </c>
      <c r="K1186" s="840">
        <v>226914284</v>
      </c>
      <c r="L1186" s="841">
        <v>4826824861</v>
      </c>
      <c r="M1186" s="840">
        <v>653911817</v>
      </c>
      <c r="N1186" s="839">
        <f>Indicadores[[#This Row],[Ventas]]/Indicadores[[#This Row],[Activos totales]]</f>
        <v>0.13547452742350496</v>
      </c>
      <c r="O1186" s="837">
        <f>IF(Indicadores[[#This Row],[Ventas]]=0,0,Indicadores[[#This Row],[EBITDA]]/Indicadores[[#This Row],[Ventas]])</f>
        <v>0.34701052665026239</v>
      </c>
      <c r="P1186" s="837">
        <f>IF(Indicadores[[#This Row],[Ventas]]=0,0,Indicadores[[#This Row],[UAI]]/Indicadores[[#This Row],[Ventas]])</f>
        <v>0.29124087078548699</v>
      </c>
      <c r="Q1186" s="837">
        <f>IFERROR(Indicadores[[#This Row],[Ventas]]/Indicadores[[#This Row],[Activos totales]],0)</f>
        <v>0.13547452742350496</v>
      </c>
    </row>
    <row r="1187" spans="1:17" hidden="1" x14ac:dyDescent="0.3">
      <c r="A1187" s="13" t="str">
        <f>MID(Indicadores[[#This Row],[CIIU]],2,4)</f>
        <v>6910</v>
      </c>
      <c r="B1187" s="13" t="str">
        <f>Indicadores[[#This Row],[CIIU]]&amp;Indicadores[[#This Row],[Año]]</f>
        <v>M69102018</v>
      </c>
      <c r="C1187" s="845" t="s">
        <v>3255</v>
      </c>
      <c r="D1187" s="845" t="s">
        <v>3256</v>
      </c>
      <c r="E1187" s="843">
        <v>2018</v>
      </c>
      <c r="F1187" s="844" t="s">
        <v>3257</v>
      </c>
      <c r="G1187" s="842" t="s">
        <v>3258</v>
      </c>
      <c r="H1187" s="843" t="s">
        <v>3259</v>
      </c>
      <c r="I1187" s="842" t="s">
        <v>3258</v>
      </c>
      <c r="J1187" s="840">
        <v>194330376</v>
      </c>
      <c r="K1187" s="840">
        <v>213218622</v>
      </c>
      <c r="L1187" s="841">
        <v>1017526641</v>
      </c>
      <c r="M1187" s="840">
        <v>1091664702</v>
      </c>
      <c r="N1187" s="839">
        <f>Indicadores[[#This Row],[Ventas]]/Indicadores[[#This Row],[Activos totales]]</f>
        <v>1.0728610515073482</v>
      </c>
      <c r="O1187" s="837">
        <f>IF(Indicadores[[#This Row],[Ventas]]=0,0,Indicadores[[#This Row],[EBITDA]]/Indicadores[[#This Row],[Ventas]])</f>
        <v>0.19531511975185215</v>
      </c>
      <c r="P1187" s="837">
        <f>IF(Indicadores[[#This Row],[Ventas]]=0,0,Indicadores[[#This Row],[UAI]]/Indicadores[[#This Row],[Ventas]])</f>
        <v>0.17801287853676523</v>
      </c>
      <c r="Q1187" s="837">
        <f>IFERROR(Indicadores[[#This Row],[Ventas]]/Indicadores[[#This Row],[Activos totales]],0)</f>
        <v>1.0728610515073482</v>
      </c>
    </row>
    <row r="1188" spans="1:17" hidden="1" x14ac:dyDescent="0.3">
      <c r="A1188" s="13" t="str">
        <f>MID(Indicadores[[#This Row],[CIIU]],2,4)</f>
        <v>6920</v>
      </c>
      <c r="B1188" s="13" t="str">
        <f>Indicadores[[#This Row],[CIIU]]&amp;Indicadores[[#This Row],[Año]]</f>
        <v>M69202018</v>
      </c>
      <c r="C1188" s="845" t="s">
        <v>3255</v>
      </c>
      <c r="D1188" s="845" t="s">
        <v>3256</v>
      </c>
      <c r="E1188" s="843">
        <v>2018</v>
      </c>
      <c r="F1188" s="844" t="s">
        <v>3260</v>
      </c>
      <c r="G1188" s="842" t="s">
        <v>3261</v>
      </c>
      <c r="H1188" s="843" t="s">
        <v>3262</v>
      </c>
      <c r="I1188" s="842" t="s">
        <v>3261</v>
      </c>
      <c r="J1188" s="840">
        <v>422299375</v>
      </c>
      <c r="K1188" s="840">
        <v>433150590</v>
      </c>
      <c r="L1188" s="841">
        <v>1720515198</v>
      </c>
      <c r="M1188" s="840">
        <v>2530709087</v>
      </c>
      <c r="N1188" s="839">
        <f>Indicadores[[#This Row],[Ventas]]/Indicadores[[#This Row],[Activos totales]]</f>
        <v>1.4709019077203176</v>
      </c>
      <c r="O1188" s="837">
        <f>IF(Indicadores[[#This Row],[Ventas]]=0,0,Indicadores[[#This Row],[EBITDA]]/Indicadores[[#This Row],[Ventas]])</f>
        <v>0.17115779613905499</v>
      </c>
      <c r="P1188" s="837">
        <f>IF(Indicadores[[#This Row],[Ventas]]=0,0,Indicadores[[#This Row],[UAI]]/Indicadores[[#This Row],[Ventas]])</f>
        <v>0.16686998010530318</v>
      </c>
      <c r="Q1188" s="837">
        <f>IFERROR(Indicadores[[#This Row],[Ventas]]/Indicadores[[#This Row],[Activos totales]],0)</f>
        <v>1.4709019077203176</v>
      </c>
    </row>
    <row r="1189" spans="1:17" hidden="1" x14ac:dyDescent="0.3">
      <c r="A1189" s="13" t="str">
        <f>MID(Indicadores[[#This Row],[CIIU]],2,4)</f>
        <v>7010</v>
      </c>
      <c r="B1189" s="13" t="str">
        <f>Indicadores[[#This Row],[CIIU]]&amp;Indicadores[[#This Row],[Año]]</f>
        <v>M70102018</v>
      </c>
      <c r="C1189" s="845" t="s">
        <v>3255</v>
      </c>
      <c r="D1189" s="845" t="s">
        <v>3263</v>
      </c>
      <c r="E1189" s="843">
        <v>2018</v>
      </c>
      <c r="F1189" s="844" t="s">
        <v>3264</v>
      </c>
      <c r="G1189" s="842" t="s">
        <v>3265</v>
      </c>
      <c r="H1189" s="843" t="s">
        <v>3266</v>
      </c>
      <c r="I1189" s="842" t="s">
        <v>3265</v>
      </c>
      <c r="J1189" s="840">
        <v>3694286679</v>
      </c>
      <c r="K1189" s="840">
        <v>3797889768</v>
      </c>
      <c r="L1189" s="841">
        <v>21522684434</v>
      </c>
      <c r="M1189" s="840">
        <v>4401264542</v>
      </c>
      <c r="N1189" s="839">
        <f>Indicadores[[#This Row],[Ventas]]/Indicadores[[#This Row],[Activos totales]]</f>
        <v>0.20449421890176472</v>
      </c>
      <c r="O1189" s="837">
        <f>IF(Indicadores[[#This Row],[Ventas]]=0,0,Indicadores[[#This Row],[EBITDA]]/Indicadores[[#This Row],[Ventas]])</f>
        <v>0.86290876900441493</v>
      </c>
      <c r="P1189" s="837">
        <f>IF(Indicadores[[#This Row],[Ventas]]=0,0,Indicadores[[#This Row],[UAI]]/Indicadores[[#This Row],[Ventas]])</f>
        <v>0.83936937753831564</v>
      </c>
      <c r="Q1189" s="837">
        <f>IFERROR(Indicadores[[#This Row],[Ventas]]/Indicadores[[#This Row],[Activos totales]],0)</f>
        <v>0.20449421890176472</v>
      </c>
    </row>
    <row r="1190" spans="1:17" hidden="1" x14ac:dyDescent="0.3">
      <c r="A1190" s="13" t="str">
        <f>MID(Indicadores[[#This Row],[CIIU]],2,4)</f>
        <v>7020</v>
      </c>
      <c r="B1190" s="13" t="str">
        <f>Indicadores[[#This Row],[CIIU]]&amp;Indicadores[[#This Row],[Año]]</f>
        <v>M70202018</v>
      </c>
      <c r="C1190" s="845" t="s">
        <v>3255</v>
      </c>
      <c r="D1190" s="845" t="s">
        <v>3263</v>
      </c>
      <c r="E1190" s="843">
        <v>2018</v>
      </c>
      <c r="F1190" s="844" t="s">
        <v>3267</v>
      </c>
      <c r="G1190" s="842" t="s">
        <v>3268</v>
      </c>
      <c r="H1190" s="843" t="s">
        <v>3269</v>
      </c>
      <c r="I1190" s="842" t="s">
        <v>3268</v>
      </c>
      <c r="J1190" s="840">
        <v>472931659</v>
      </c>
      <c r="K1190" s="840">
        <v>529932730</v>
      </c>
      <c r="L1190" s="841">
        <v>5609739548</v>
      </c>
      <c r="M1190" s="840">
        <v>3089356235</v>
      </c>
      <c r="N1190" s="839">
        <f>Indicadores[[#This Row],[Ventas]]/Indicadores[[#This Row],[Activos totales]]</f>
        <v>0.55071295352765992</v>
      </c>
      <c r="O1190" s="837">
        <f>IF(Indicadores[[#This Row],[Ventas]]=0,0,Indicadores[[#This Row],[EBITDA]]/Indicadores[[#This Row],[Ventas]])</f>
        <v>0.17153500266375074</v>
      </c>
      <c r="P1190" s="837">
        <f>IF(Indicadores[[#This Row],[Ventas]]=0,0,Indicadores[[#This Row],[UAI]]/Indicadores[[#This Row],[Ventas]])</f>
        <v>0.15308421011538023</v>
      </c>
      <c r="Q1190" s="837">
        <f>IFERROR(Indicadores[[#This Row],[Ventas]]/Indicadores[[#This Row],[Activos totales]],0)</f>
        <v>0.55071295352765992</v>
      </c>
    </row>
    <row r="1191" spans="1:17" hidden="1" x14ac:dyDescent="0.3">
      <c r="A1191" s="13" t="str">
        <f>MID(Indicadores[[#This Row],[CIIU]],2,4)</f>
        <v>7110</v>
      </c>
      <c r="B1191" s="13" t="str">
        <f>Indicadores[[#This Row],[CIIU]]&amp;Indicadores[[#This Row],[Año]]</f>
        <v>M71102018</v>
      </c>
      <c r="C1191" s="845" t="s">
        <v>3255</v>
      </c>
      <c r="D1191" s="845" t="s">
        <v>3270</v>
      </c>
      <c r="E1191" s="843">
        <v>2018</v>
      </c>
      <c r="F1191" s="844" t="s">
        <v>3271</v>
      </c>
      <c r="G1191" s="842" t="s">
        <v>3272</v>
      </c>
      <c r="H1191" s="843" t="s">
        <v>3273</v>
      </c>
      <c r="I1191" s="842" t="s">
        <v>3272</v>
      </c>
      <c r="J1191" s="840">
        <v>356950095</v>
      </c>
      <c r="K1191" s="840">
        <v>464176312</v>
      </c>
      <c r="L1191" s="841">
        <v>9271265194</v>
      </c>
      <c r="M1191" s="840">
        <v>5706431204</v>
      </c>
      <c r="N1191" s="839">
        <f>Indicadores[[#This Row],[Ventas]]/Indicadores[[#This Row],[Activos totales]]</f>
        <v>0.61549649207456381</v>
      </c>
      <c r="O1191" s="837">
        <f>IF(Indicadores[[#This Row],[Ventas]]=0,0,Indicadores[[#This Row],[EBITDA]]/Indicadores[[#This Row],[Ventas]])</f>
        <v>8.1342663287455277E-2</v>
      </c>
      <c r="P1191" s="837">
        <f>IF(Indicadores[[#This Row],[Ventas]]=0,0,Indicadores[[#This Row],[UAI]]/Indicadores[[#This Row],[Ventas]])</f>
        <v>6.255224714700687E-2</v>
      </c>
      <c r="Q1191" s="837">
        <f>IFERROR(Indicadores[[#This Row],[Ventas]]/Indicadores[[#This Row],[Activos totales]],0)</f>
        <v>0.61549649207456381</v>
      </c>
    </row>
    <row r="1192" spans="1:17" hidden="1" x14ac:dyDescent="0.3">
      <c r="A1192" s="13" t="str">
        <f>MID(Indicadores[[#This Row],[CIIU]],2,4)</f>
        <v>7120</v>
      </c>
      <c r="B1192" s="13" t="str">
        <f>Indicadores[[#This Row],[CIIU]]&amp;Indicadores[[#This Row],[Año]]</f>
        <v>M71202018</v>
      </c>
      <c r="C1192" s="845" t="s">
        <v>3255</v>
      </c>
      <c r="D1192" s="845" t="s">
        <v>3270</v>
      </c>
      <c r="E1192" s="843">
        <v>2018</v>
      </c>
      <c r="F1192" s="844" t="s">
        <v>3274</v>
      </c>
      <c r="G1192" s="842" t="s">
        <v>3275</v>
      </c>
      <c r="H1192" s="843" t="s">
        <v>3276</v>
      </c>
      <c r="I1192" s="842" t="s">
        <v>3275</v>
      </c>
      <c r="J1192" s="840">
        <v>19625128</v>
      </c>
      <c r="K1192" s="840">
        <v>24621738</v>
      </c>
      <c r="L1192" s="841">
        <v>257507591</v>
      </c>
      <c r="M1192" s="840">
        <v>161284825</v>
      </c>
      <c r="N1192" s="839">
        <f>Indicadores[[#This Row],[Ventas]]/Indicadores[[#This Row],[Activos totales]]</f>
        <v>0.62633037097535504</v>
      </c>
      <c r="O1192" s="837">
        <f>IF(Indicadores[[#This Row],[Ventas]]=0,0,Indicadores[[#This Row],[EBITDA]]/Indicadores[[#This Row],[Ventas]])</f>
        <v>0.15265997901538475</v>
      </c>
      <c r="P1192" s="837">
        <f>IF(Indicadores[[#This Row],[Ventas]]=0,0,Indicadores[[#This Row],[UAI]]/Indicadores[[#This Row],[Ventas]])</f>
        <v>0.12167994106079105</v>
      </c>
      <c r="Q1192" s="837">
        <f>IFERROR(Indicadores[[#This Row],[Ventas]]/Indicadores[[#This Row],[Activos totales]],0)</f>
        <v>0.62633037097535504</v>
      </c>
    </row>
    <row r="1193" spans="1:17" hidden="1" x14ac:dyDescent="0.3">
      <c r="A1193" s="13" t="str">
        <f>MID(Indicadores[[#This Row],[CIIU]],2,4)</f>
        <v>7210</v>
      </c>
      <c r="B1193" s="13" t="str">
        <f>Indicadores[[#This Row],[CIIU]]&amp;Indicadores[[#This Row],[Año]]</f>
        <v>M72102018</v>
      </c>
      <c r="C1193" s="845" t="s">
        <v>3255</v>
      </c>
      <c r="D1193" s="845" t="s">
        <v>3277</v>
      </c>
      <c r="E1193" s="843">
        <v>2018</v>
      </c>
      <c r="F1193" s="844" t="s">
        <v>3278</v>
      </c>
      <c r="G1193" s="842" t="s">
        <v>3279</v>
      </c>
      <c r="H1193" s="843" t="s">
        <v>3280</v>
      </c>
      <c r="I1193" s="842" t="s">
        <v>3281</v>
      </c>
      <c r="J1193" s="840">
        <v>4860181</v>
      </c>
      <c r="K1193" s="840">
        <v>6465686</v>
      </c>
      <c r="L1193" s="841">
        <v>85432783</v>
      </c>
      <c r="M1193" s="840">
        <v>88453855</v>
      </c>
      <c r="N1193" s="839">
        <f>Indicadores[[#This Row],[Ventas]]/Indicadores[[#This Row],[Activos totales]]</f>
        <v>1.0353619757417947</v>
      </c>
      <c r="O1193" s="837">
        <f>IF(Indicadores[[#This Row],[Ventas]]=0,0,Indicadores[[#This Row],[EBITDA]]/Indicadores[[#This Row],[Ventas]])</f>
        <v>7.3096712404450884E-2</v>
      </c>
      <c r="P1193" s="837">
        <f>IF(Indicadores[[#This Row],[Ventas]]=0,0,Indicadores[[#This Row],[UAI]]/Indicadores[[#This Row],[Ventas]])</f>
        <v>5.4945948935747342E-2</v>
      </c>
      <c r="Q1193" s="837">
        <f>IFERROR(Indicadores[[#This Row],[Ventas]]/Indicadores[[#This Row],[Activos totales]],0)</f>
        <v>1.0353619757417947</v>
      </c>
    </row>
    <row r="1194" spans="1:17" hidden="1" x14ac:dyDescent="0.3">
      <c r="A1194" s="13" t="str">
        <f>MID(Indicadores[[#This Row],[CIIU]],2,4)</f>
        <v>7220</v>
      </c>
      <c r="B1194" s="13" t="str">
        <f>Indicadores[[#This Row],[CIIU]]&amp;Indicadores[[#This Row],[Año]]</f>
        <v>M72202018</v>
      </c>
      <c r="C1194" s="845" t="s">
        <v>3255</v>
      </c>
      <c r="D1194" s="845" t="s">
        <v>3277</v>
      </c>
      <c r="E1194" s="843">
        <v>2018</v>
      </c>
      <c r="F1194" s="844" t="s">
        <v>3282</v>
      </c>
      <c r="G1194" s="842" t="s">
        <v>3283</v>
      </c>
      <c r="H1194" s="843" t="s">
        <v>3284</v>
      </c>
      <c r="I1194" s="842" t="s">
        <v>3283</v>
      </c>
      <c r="J1194" s="840">
        <v>-2164849</v>
      </c>
      <c r="K1194" s="840">
        <v>-2127349</v>
      </c>
      <c r="L1194" s="841">
        <v>169822311</v>
      </c>
      <c r="M1194" s="840">
        <v>96000</v>
      </c>
      <c r="N1194" s="839">
        <f>Indicadores[[#This Row],[Ventas]]/Indicadores[[#This Row],[Activos totales]]</f>
        <v>5.6529674713942624E-4</v>
      </c>
      <c r="O1194" s="837">
        <f>IF(Indicadores[[#This Row],[Ventas]]=0,0,Indicadores[[#This Row],[EBITDA]]/Indicadores[[#This Row],[Ventas]])</f>
        <v>-22.159885416666668</v>
      </c>
      <c r="P1194" s="837">
        <f>IF(Indicadores[[#This Row],[Ventas]]=0,0,Indicadores[[#This Row],[UAI]]/Indicadores[[#This Row],[Ventas]])</f>
        <v>-22.550510416666668</v>
      </c>
      <c r="Q1194" s="837">
        <f>IFERROR(Indicadores[[#This Row],[Ventas]]/Indicadores[[#This Row],[Activos totales]],0)</f>
        <v>5.6529674713942624E-4</v>
      </c>
    </row>
    <row r="1195" spans="1:17" hidden="1" x14ac:dyDescent="0.3">
      <c r="A1195" s="13" t="str">
        <f>MID(Indicadores[[#This Row],[CIIU]],2,4)</f>
        <v>7310</v>
      </c>
      <c r="B1195" s="13" t="str">
        <f>Indicadores[[#This Row],[CIIU]]&amp;Indicadores[[#This Row],[Año]]</f>
        <v>M73102018</v>
      </c>
      <c r="C1195" s="845" t="s">
        <v>3255</v>
      </c>
      <c r="D1195" s="845" t="s">
        <v>3285</v>
      </c>
      <c r="E1195" s="843">
        <v>2018</v>
      </c>
      <c r="F1195" s="844" t="s">
        <v>3286</v>
      </c>
      <c r="G1195" s="842" t="s">
        <v>3287</v>
      </c>
      <c r="H1195" s="843" t="s">
        <v>3288</v>
      </c>
      <c r="I1195" s="842" t="s">
        <v>3287</v>
      </c>
      <c r="J1195" s="840">
        <v>7126853</v>
      </c>
      <c r="K1195" s="840">
        <v>69003487</v>
      </c>
      <c r="L1195" s="841">
        <v>2980849017</v>
      </c>
      <c r="M1195" s="840">
        <v>2601516008</v>
      </c>
      <c r="N1195" s="839">
        <f>Indicadores[[#This Row],[Ventas]]/Indicadores[[#This Row],[Activos totales]]</f>
        <v>0.87274330003410572</v>
      </c>
      <c r="O1195" s="837">
        <f>IF(Indicadores[[#This Row],[Ventas]]=0,0,Indicadores[[#This Row],[EBITDA]]/Indicadores[[#This Row],[Ventas]])</f>
        <v>2.6524336881958561E-2</v>
      </c>
      <c r="P1195" s="837">
        <f>IF(Indicadores[[#This Row],[Ventas]]=0,0,Indicadores[[#This Row],[UAI]]/Indicadores[[#This Row],[Ventas]])</f>
        <v>2.7394999600555987E-3</v>
      </c>
      <c r="Q1195" s="837">
        <f>IFERROR(Indicadores[[#This Row],[Ventas]]/Indicadores[[#This Row],[Activos totales]],0)</f>
        <v>0.87274330003410572</v>
      </c>
    </row>
    <row r="1196" spans="1:17" hidden="1" x14ac:dyDescent="0.3">
      <c r="A1196" s="13" t="str">
        <f>MID(Indicadores[[#This Row],[CIIU]],2,4)</f>
        <v>7320</v>
      </c>
      <c r="B1196" s="13" t="str">
        <f>Indicadores[[#This Row],[CIIU]]&amp;Indicadores[[#This Row],[Año]]</f>
        <v>M73202018</v>
      </c>
      <c r="C1196" s="845" t="s">
        <v>3255</v>
      </c>
      <c r="D1196" s="845" t="s">
        <v>3285</v>
      </c>
      <c r="E1196" s="843">
        <v>2018</v>
      </c>
      <c r="F1196" s="844" t="s">
        <v>3289</v>
      </c>
      <c r="G1196" s="842" t="s">
        <v>3290</v>
      </c>
      <c r="H1196" s="843" t="s">
        <v>3291</v>
      </c>
      <c r="I1196" s="842" t="s">
        <v>3290</v>
      </c>
      <c r="J1196" s="840">
        <v>29992704</v>
      </c>
      <c r="K1196" s="840">
        <v>38473009</v>
      </c>
      <c r="L1196" s="841">
        <v>350601103</v>
      </c>
      <c r="M1196" s="840">
        <v>369461474</v>
      </c>
      <c r="N1196" s="839">
        <f>Indicadores[[#This Row],[Ventas]]/Indicadores[[#This Row],[Activos totales]]</f>
        <v>1.0537943858094478</v>
      </c>
      <c r="O1196" s="837">
        <f>IF(Indicadores[[#This Row],[Ventas]]=0,0,Indicadores[[#This Row],[EBITDA]]/Indicadores[[#This Row],[Ventas]])</f>
        <v>0.10413266797067994</v>
      </c>
      <c r="P1196" s="837">
        <f>IF(Indicadores[[#This Row],[Ventas]]=0,0,Indicadores[[#This Row],[UAI]]/Indicadores[[#This Row],[Ventas]])</f>
        <v>8.1179516974481628E-2</v>
      </c>
      <c r="Q1196" s="837">
        <f>IFERROR(Indicadores[[#This Row],[Ventas]]/Indicadores[[#This Row],[Activos totales]],0)</f>
        <v>1.0537943858094478</v>
      </c>
    </row>
    <row r="1197" spans="1:17" hidden="1" x14ac:dyDescent="0.3">
      <c r="A1197" s="13" t="str">
        <f>MID(Indicadores[[#This Row],[CIIU]],2,4)</f>
        <v>7410</v>
      </c>
      <c r="B1197" s="13" t="str">
        <f>Indicadores[[#This Row],[CIIU]]&amp;Indicadores[[#This Row],[Año]]</f>
        <v>M74102018</v>
      </c>
      <c r="C1197" s="845" t="s">
        <v>3255</v>
      </c>
      <c r="D1197" s="845" t="s">
        <v>3292</v>
      </c>
      <c r="E1197" s="843">
        <v>2018</v>
      </c>
      <c r="F1197" s="844" t="s">
        <v>3293</v>
      </c>
      <c r="G1197" s="842" t="s">
        <v>3294</v>
      </c>
      <c r="H1197" s="843" t="s">
        <v>3295</v>
      </c>
      <c r="I1197" s="842" t="s">
        <v>3296</v>
      </c>
      <c r="J1197" s="840">
        <v>1528748</v>
      </c>
      <c r="K1197" s="840">
        <v>1958159</v>
      </c>
      <c r="L1197" s="841">
        <v>94104842</v>
      </c>
      <c r="M1197" s="840">
        <v>39081111</v>
      </c>
      <c r="N1197" s="839">
        <f>Indicadores[[#This Row],[Ventas]]/Indicadores[[#This Row],[Activos totales]]</f>
        <v>0.41529330658671104</v>
      </c>
      <c r="O1197" s="837">
        <f>IF(Indicadores[[#This Row],[Ventas]]=0,0,Indicadores[[#This Row],[EBITDA]]/Indicadores[[#This Row],[Ventas]])</f>
        <v>5.0104998294444598E-2</v>
      </c>
      <c r="P1197" s="837">
        <f>IF(Indicadores[[#This Row],[Ventas]]=0,0,Indicadores[[#This Row],[UAI]]/Indicadores[[#This Row],[Ventas]])</f>
        <v>3.9117311685432893E-2</v>
      </c>
      <c r="Q1197" s="837">
        <f>IFERROR(Indicadores[[#This Row],[Ventas]]/Indicadores[[#This Row],[Activos totales]],0)</f>
        <v>0.41529330658671104</v>
      </c>
    </row>
    <row r="1198" spans="1:17" hidden="1" x14ac:dyDescent="0.3">
      <c r="A1198" s="13" t="str">
        <f>MID(Indicadores[[#This Row],[CIIU]],2,4)</f>
        <v>7420</v>
      </c>
      <c r="B1198" s="13" t="str">
        <f>Indicadores[[#This Row],[CIIU]]&amp;Indicadores[[#This Row],[Año]]</f>
        <v>M74202018</v>
      </c>
      <c r="C1198" s="845" t="s">
        <v>3255</v>
      </c>
      <c r="D1198" s="845" t="s">
        <v>3292</v>
      </c>
      <c r="E1198" s="843">
        <v>2018</v>
      </c>
      <c r="F1198" s="844" t="s">
        <v>3297</v>
      </c>
      <c r="G1198" s="842" t="s">
        <v>3298</v>
      </c>
      <c r="H1198" s="843" t="s">
        <v>3299</v>
      </c>
      <c r="I1198" s="842" t="s">
        <v>3298</v>
      </c>
      <c r="J1198" s="840">
        <v>284779</v>
      </c>
      <c r="K1198" s="840">
        <v>2328829</v>
      </c>
      <c r="L1198" s="841">
        <v>80419207</v>
      </c>
      <c r="M1198" s="840">
        <v>24925584</v>
      </c>
      <c r="N1198" s="839">
        <f>Indicadores[[#This Row],[Ventas]]/Indicadores[[#This Row],[Activos totales]]</f>
        <v>0.30994565763375409</v>
      </c>
      <c r="O1198" s="837">
        <f>IF(Indicadores[[#This Row],[Ventas]]=0,0,Indicadores[[#This Row],[EBITDA]]/Indicadores[[#This Row],[Ventas]])</f>
        <v>9.3431271259281232E-2</v>
      </c>
      <c r="P1198" s="837">
        <f>IF(Indicadores[[#This Row],[Ventas]]=0,0,Indicadores[[#This Row],[UAI]]/Indicadores[[#This Row],[Ventas]])</f>
        <v>1.1425168613902888E-2</v>
      </c>
      <c r="Q1198" s="837">
        <f>IFERROR(Indicadores[[#This Row],[Ventas]]/Indicadores[[#This Row],[Activos totales]],0)</f>
        <v>0.30994565763375409</v>
      </c>
    </row>
    <row r="1199" spans="1:17" hidden="1" x14ac:dyDescent="0.3">
      <c r="A1199" s="13" t="str">
        <f>MID(Indicadores[[#This Row],[CIIU]],2,4)</f>
        <v>7490</v>
      </c>
      <c r="B1199" s="13" t="str">
        <f>Indicadores[[#This Row],[CIIU]]&amp;Indicadores[[#This Row],[Año]]</f>
        <v>M74902018</v>
      </c>
      <c r="C1199" s="845" t="s">
        <v>3255</v>
      </c>
      <c r="D1199" s="845" t="s">
        <v>3292</v>
      </c>
      <c r="E1199" s="843">
        <v>2018</v>
      </c>
      <c r="F1199" s="844" t="s">
        <v>3300</v>
      </c>
      <c r="G1199" s="842" t="s">
        <v>3301</v>
      </c>
      <c r="H1199" s="843" t="s">
        <v>3302</v>
      </c>
      <c r="I1199" s="842" t="s">
        <v>3301</v>
      </c>
      <c r="J1199" s="840">
        <v>1388943709</v>
      </c>
      <c r="K1199" s="840">
        <v>1549913526</v>
      </c>
      <c r="L1199" s="841">
        <v>21946574081</v>
      </c>
      <c r="M1199" s="840">
        <v>10662351646</v>
      </c>
      <c r="N1199" s="839">
        <f>Indicadores[[#This Row],[Ventas]]/Indicadores[[#This Row],[Activos totales]]</f>
        <v>0.48583216709120952</v>
      </c>
      <c r="O1199" s="837">
        <f>IF(Indicadores[[#This Row],[Ventas]]=0,0,Indicadores[[#This Row],[EBITDA]]/Indicadores[[#This Row],[Ventas]])</f>
        <v>0.14536319730004899</v>
      </c>
      <c r="P1199" s="837">
        <f>IF(Indicadores[[#This Row],[Ventas]]=0,0,Indicadores[[#This Row],[UAI]]/Indicadores[[#This Row],[Ventas]])</f>
        <v>0.13026616970760524</v>
      </c>
      <c r="Q1199" s="837">
        <f>IFERROR(Indicadores[[#This Row],[Ventas]]/Indicadores[[#This Row],[Activos totales]],0)</f>
        <v>0.48583216709120952</v>
      </c>
    </row>
    <row r="1200" spans="1:17" hidden="1" x14ac:dyDescent="0.3">
      <c r="A1200" s="13" t="str">
        <f>MID(Indicadores[[#This Row],[CIIU]],2,4)</f>
        <v>7710</v>
      </c>
      <c r="B1200" s="13" t="str">
        <f>Indicadores[[#This Row],[CIIU]]&amp;Indicadores[[#This Row],[Año]]</f>
        <v>N77102018</v>
      </c>
      <c r="C1200" s="845" t="s">
        <v>3303</v>
      </c>
      <c r="D1200" s="845" t="s">
        <v>3304</v>
      </c>
      <c r="E1200" s="843">
        <v>2018</v>
      </c>
      <c r="F1200" s="844" t="s">
        <v>3305</v>
      </c>
      <c r="G1200" s="842" t="s">
        <v>3306</v>
      </c>
      <c r="H1200" s="843" t="s">
        <v>3307</v>
      </c>
      <c r="I1200" s="842" t="s">
        <v>3306</v>
      </c>
      <c r="J1200" s="840">
        <v>167195002</v>
      </c>
      <c r="K1200" s="840">
        <v>361496005</v>
      </c>
      <c r="L1200" s="841">
        <v>2599414356</v>
      </c>
      <c r="M1200" s="840">
        <v>928290061</v>
      </c>
      <c r="N1200" s="839">
        <f>Indicadores[[#This Row],[Ventas]]/Indicadores[[#This Row],[Activos totales]]</f>
        <v>0.35711507819340521</v>
      </c>
      <c r="O1200" s="837">
        <f>IF(Indicadores[[#This Row],[Ventas]]=0,0,Indicadores[[#This Row],[EBITDA]]/Indicadores[[#This Row],[Ventas]])</f>
        <v>0.38942138905438523</v>
      </c>
      <c r="P1200" s="837">
        <f>IF(Indicadores[[#This Row],[Ventas]]=0,0,Indicadores[[#This Row],[UAI]]/Indicadores[[#This Row],[Ventas]])</f>
        <v>0.18011073157444912</v>
      </c>
      <c r="Q1200" s="837">
        <f>IFERROR(Indicadores[[#This Row],[Ventas]]/Indicadores[[#This Row],[Activos totales]],0)</f>
        <v>0.35711507819340521</v>
      </c>
    </row>
    <row r="1201" spans="1:17" hidden="1" x14ac:dyDescent="0.3">
      <c r="A1201" s="13" t="str">
        <f>MID(Indicadores[[#This Row],[CIIU]],2,4)</f>
        <v>7721</v>
      </c>
      <c r="B1201" s="13" t="str">
        <f>Indicadores[[#This Row],[CIIU]]&amp;Indicadores[[#This Row],[Año]]</f>
        <v>N77212018</v>
      </c>
      <c r="C1201" s="845" t="s">
        <v>3303</v>
      </c>
      <c r="D1201" s="845" t="s">
        <v>3304</v>
      </c>
      <c r="E1201" s="843">
        <v>2018</v>
      </c>
      <c r="F1201" s="844" t="s">
        <v>3308</v>
      </c>
      <c r="G1201" s="838" t="s">
        <v>3309</v>
      </c>
      <c r="H1201" s="843" t="s">
        <v>3310</v>
      </c>
      <c r="I1201" s="842" t="s">
        <v>3309</v>
      </c>
      <c r="J1201" s="840">
        <v>-3207428</v>
      </c>
      <c r="K1201" s="840">
        <v>-2960950</v>
      </c>
      <c r="L1201" s="841">
        <v>60188585</v>
      </c>
      <c r="M1201" s="840">
        <v>136990220</v>
      </c>
      <c r="N1201" s="839">
        <f>Indicadores[[#This Row],[Ventas]]/Indicadores[[#This Row],[Activos totales]]</f>
        <v>2.2760166234178789</v>
      </c>
      <c r="O1201" s="837">
        <f>IF(Indicadores[[#This Row],[Ventas]]=0,0,Indicadores[[#This Row],[EBITDA]]/Indicadores[[#This Row],[Ventas]])</f>
        <v>-2.1614316700856454E-2</v>
      </c>
      <c r="P1201" s="837">
        <f>IF(Indicadores[[#This Row],[Ventas]]=0,0,Indicadores[[#This Row],[UAI]]/Indicadores[[#This Row],[Ventas]])</f>
        <v>-2.3413554631856202E-2</v>
      </c>
      <c r="Q1201" s="837">
        <f>IFERROR(Indicadores[[#This Row],[Ventas]]/Indicadores[[#This Row],[Activos totales]],0)</f>
        <v>2.2760166234178789</v>
      </c>
    </row>
    <row r="1202" spans="1:17" hidden="1" x14ac:dyDescent="0.3">
      <c r="A1202" s="13" t="str">
        <f>MID(Indicadores[[#This Row],[CIIU]],2,4)</f>
        <v>7729</v>
      </c>
      <c r="B1202" s="13" t="str">
        <f>Indicadores[[#This Row],[CIIU]]&amp;Indicadores[[#This Row],[Año]]</f>
        <v>N77292018</v>
      </c>
      <c r="C1202" s="845" t="s">
        <v>3303</v>
      </c>
      <c r="D1202" s="845" t="s">
        <v>3304</v>
      </c>
      <c r="E1202" s="843">
        <v>2018</v>
      </c>
      <c r="F1202" s="844" t="s">
        <v>3576</v>
      </c>
      <c r="G1202" s="842" t="s">
        <v>3577</v>
      </c>
      <c r="H1202" s="843" t="s">
        <v>3578</v>
      </c>
      <c r="I1202" s="842" t="s">
        <v>3577</v>
      </c>
      <c r="J1202" s="840">
        <v>5931</v>
      </c>
      <c r="K1202" s="840">
        <v>32346</v>
      </c>
      <c r="L1202" s="841">
        <v>3599171</v>
      </c>
      <c r="M1202" s="840">
        <v>174096</v>
      </c>
      <c r="N1202" s="839">
        <f>Indicadores[[#This Row],[Ventas]]/Indicadores[[#This Row],[Activos totales]]</f>
        <v>4.8371138798351067E-2</v>
      </c>
      <c r="O1202" s="837">
        <f>IF(Indicadores[[#This Row],[Ventas]]=0,0,Indicadores[[#This Row],[EBITDA]]/Indicadores[[#This Row],[Ventas]])</f>
        <v>0.1857940446650124</v>
      </c>
      <c r="P1202" s="837">
        <f>IF(Indicadores[[#This Row],[Ventas]]=0,0,Indicadores[[#This Row],[UAI]]/Indicadores[[#This Row],[Ventas]])</f>
        <v>3.4067411083540118E-2</v>
      </c>
      <c r="Q1202" s="837">
        <f>IFERROR(Indicadores[[#This Row],[Ventas]]/Indicadores[[#This Row],[Activos totales]],0)</f>
        <v>4.8371138798351067E-2</v>
      </c>
    </row>
    <row r="1203" spans="1:17" hidden="1" x14ac:dyDescent="0.3">
      <c r="A1203" s="13" t="str">
        <f>MID(Indicadores[[#This Row],[CIIU]],2,4)</f>
        <v>7730</v>
      </c>
      <c r="B1203" s="13" t="str">
        <f>Indicadores[[#This Row],[CIIU]]&amp;Indicadores[[#This Row],[Año]]</f>
        <v>N77302018</v>
      </c>
      <c r="C1203" s="845" t="s">
        <v>3303</v>
      </c>
      <c r="D1203" s="845" t="s">
        <v>3304</v>
      </c>
      <c r="E1203" s="843">
        <v>2018</v>
      </c>
      <c r="F1203" s="844" t="s">
        <v>3311</v>
      </c>
      <c r="G1203" s="842" t="s">
        <v>3312</v>
      </c>
      <c r="H1203" s="843" t="s">
        <v>3313</v>
      </c>
      <c r="I1203" s="842" t="s">
        <v>3312</v>
      </c>
      <c r="J1203" s="840">
        <v>39629014</v>
      </c>
      <c r="K1203" s="840">
        <v>417950392</v>
      </c>
      <c r="L1203" s="841">
        <v>4160669907</v>
      </c>
      <c r="M1203" s="840">
        <v>1597179187</v>
      </c>
      <c r="N1203" s="839">
        <f>Indicadores[[#This Row],[Ventas]]/Indicadores[[#This Row],[Activos totales]]</f>
        <v>0.38387548704906188</v>
      </c>
      <c r="O1203" s="837">
        <f>IF(Indicadores[[#This Row],[Ventas]]=0,0,Indicadores[[#This Row],[EBITDA]]/Indicadores[[#This Row],[Ventas]])</f>
        <v>0.26168033956480552</v>
      </c>
      <c r="P1203" s="837">
        <f>IF(Indicadores[[#This Row],[Ventas]]=0,0,Indicadores[[#This Row],[UAI]]/Indicadores[[#This Row],[Ventas]])</f>
        <v>2.4811877291260998E-2</v>
      </c>
      <c r="Q1203" s="837">
        <f>IFERROR(Indicadores[[#This Row],[Ventas]]/Indicadores[[#This Row],[Activos totales]],0)</f>
        <v>0.38387548704906188</v>
      </c>
    </row>
    <row r="1204" spans="1:17" hidden="1" x14ac:dyDescent="0.3">
      <c r="A1204" s="13" t="str">
        <f>MID(Indicadores[[#This Row],[CIIU]],2,4)</f>
        <v>7740</v>
      </c>
      <c r="B1204" s="13" t="str">
        <f>Indicadores[[#This Row],[CIIU]]&amp;Indicadores[[#This Row],[Año]]</f>
        <v>N77402018</v>
      </c>
      <c r="C1204" s="845" t="s">
        <v>3303</v>
      </c>
      <c r="D1204" s="845" t="s">
        <v>3304</v>
      </c>
      <c r="E1204" s="843">
        <v>2018</v>
      </c>
      <c r="F1204" s="844" t="s">
        <v>3314</v>
      </c>
      <c r="G1204" s="842" t="s">
        <v>3315</v>
      </c>
      <c r="H1204" s="843" t="s">
        <v>3316</v>
      </c>
      <c r="I1204" s="842" t="s">
        <v>3315</v>
      </c>
      <c r="J1204" s="840">
        <v>70770578</v>
      </c>
      <c r="K1204" s="840">
        <v>91980259</v>
      </c>
      <c r="L1204" s="841">
        <v>1119089753</v>
      </c>
      <c r="M1204" s="840">
        <v>342767812</v>
      </c>
      <c r="N1204" s="839">
        <f>Indicadores[[#This Row],[Ventas]]/Indicadores[[#This Row],[Activos totales]]</f>
        <v>0.30629161877420924</v>
      </c>
      <c r="O1204" s="837">
        <f>IF(Indicadores[[#This Row],[Ventas]]=0,0,Indicadores[[#This Row],[EBITDA]]/Indicadores[[#This Row],[Ventas]])</f>
        <v>0.26834567243437668</v>
      </c>
      <c r="P1204" s="837">
        <f>IF(Indicadores[[#This Row],[Ventas]]=0,0,Indicadores[[#This Row],[UAI]]/Indicadores[[#This Row],[Ventas]])</f>
        <v>0.20646798072159706</v>
      </c>
      <c r="Q1204" s="837">
        <f>IFERROR(Indicadores[[#This Row],[Ventas]]/Indicadores[[#This Row],[Activos totales]],0)</f>
        <v>0.30629161877420924</v>
      </c>
    </row>
    <row r="1205" spans="1:17" hidden="1" x14ac:dyDescent="0.3">
      <c r="A1205" s="13" t="str">
        <f>MID(Indicadores[[#This Row],[CIIU]],2,4)</f>
        <v>7810</v>
      </c>
      <c r="B1205" s="13" t="str">
        <f>Indicadores[[#This Row],[CIIU]]&amp;Indicadores[[#This Row],[Año]]</f>
        <v>N78102018</v>
      </c>
      <c r="C1205" s="845" t="s">
        <v>3303</v>
      </c>
      <c r="D1205" s="845" t="s">
        <v>3317</v>
      </c>
      <c r="E1205" s="843">
        <v>2018</v>
      </c>
      <c r="F1205" s="844" t="s">
        <v>3318</v>
      </c>
      <c r="G1205" s="838" t="s">
        <v>3319</v>
      </c>
      <c r="H1205" s="843" t="s">
        <v>3320</v>
      </c>
      <c r="I1205" s="842" t="s">
        <v>3319</v>
      </c>
      <c r="J1205" s="840">
        <v>4966672</v>
      </c>
      <c r="K1205" s="840">
        <v>5147708</v>
      </c>
      <c r="L1205" s="841">
        <v>141948566</v>
      </c>
      <c r="M1205" s="840">
        <v>190986396</v>
      </c>
      <c r="N1205" s="839">
        <f>Indicadores[[#This Row],[Ventas]]/Indicadores[[#This Row],[Activos totales]]</f>
        <v>1.3454619612007916</v>
      </c>
      <c r="O1205" s="837">
        <f>IF(Indicadores[[#This Row],[Ventas]]=0,0,Indicadores[[#This Row],[EBITDA]]/Indicadores[[#This Row],[Ventas]])</f>
        <v>2.6953270535562124E-2</v>
      </c>
      <c r="P1205" s="837">
        <f>IF(Indicadores[[#This Row],[Ventas]]=0,0,Indicadores[[#This Row],[UAI]]/Indicadores[[#This Row],[Ventas]])</f>
        <v>2.6005370560529349E-2</v>
      </c>
      <c r="Q1205" s="837">
        <f>IFERROR(Indicadores[[#This Row],[Ventas]]/Indicadores[[#This Row],[Activos totales]],0)</f>
        <v>1.3454619612007916</v>
      </c>
    </row>
    <row r="1206" spans="1:17" hidden="1" x14ac:dyDescent="0.3">
      <c r="A1206" s="13" t="str">
        <f>MID(Indicadores[[#This Row],[CIIU]],2,4)</f>
        <v>7820</v>
      </c>
      <c r="B1206" s="13" t="str">
        <f>Indicadores[[#This Row],[CIIU]]&amp;Indicadores[[#This Row],[Año]]</f>
        <v>N78202018</v>
      </c>
      <c r="C1206" s="845" t="s">
        <v>3303</v>
      </c>
      <c r="D1206" s="845" t="s">
        <v>3317</v>
      </c>
      <c r="E1206" s="843">
        <v>2018</v>
      </c>
      <c r="F1206" s="844" t="s">
        <v>3321</v>
      </c>
      <c r="G1206" s="842" t="s">
        <v>3322</v>
      </c>
      <c r="H1206" s="843" t="s">
        <v>3323</v>
      </c>
      <c r="I1206" s="842" t="s">
        <v>3322</v>
      </c>
      <c r="J1206" s="840">
        <v>57817036</v>
      </c>
      <c r="K1206" s="840">
        <v>65226494</v>
      </c>
      <c r="L1206" s="841">
        <v>1295422392</v>
      </c>
      <c r="M1206" s="840">
        <v>6950663748</v>
      </c>
      <c r="N1206" s="839">
        <f>Indicadores[[#This Row],[Ventas]]/Indicadores[[#This Row],[Activos totales]]</f>
        <v>5.3655578218536766</v>
      </c>
      <c r="O1206" s="837">
        <f>IF(Indicadores[[#This Row],[Ventas]]=0,0,Indicadores[[#This Row],[EBITDA]]/Indicadores[[#This Row],[Ventas]])</f>
        <v>9.3842108271700551E-3</v>
      </c>
      <c r="P1206" s="837">
        <f>IF(Indicadores[[#This Row],[Ventas]]=0,0,Indicadores[[#This Row],[UAI]]/Indicadores[[#This Row],[Ventas]])</f>
        <v>8.3182035696427424E-3</v>
      </c>
      <c r="Q1206" s="837">
        <f>IFERROR(Indicadores[[#This Row],[Ventas]]/Indicadores[[#This Row],[Activos totales]],0)</f>
        <v>5.3655578218536766</v>
      </c>
    </row>
    <row r="1207" spans="1:17" hidden="1" x14ac:dyDescent="0.3">
      <c r="A1207" s="13" t="str">
        <f>MID(Indicadores[[#This Row],[CIIU]],2,4)</f>
        <v>7830</v>
      </c>
      <c r="B1207" s="13" t="str">
        <f>Indicadores[[#This Row],[CIIU]]&amp;Indicadores[[#This Row],[Año]]</f>
        <v>N78302018</v>
      </c>
      <c r="C1207" s="845" t="s">
        <v>3303</v>
      </c>
      <c r="D1207" s="845" t="s">
        <v>3317</v>
      </c>
      <c r="E1207" s="843">
        <v>2018</v>
      </c>
      <c r="F1207" s="844" t="s">
        <v>3324</v>
      </c>
      <c r="G1207" s="842" t="s">
        <v>3325</v>
      </c>
      <c r="H1207" s="843" t="s">
        <v>3326</v>
      </c>
      <c r="I1207" s="842" t="s">
        <v>3325</v>
      </c>
      <c r="J1207" s="840">
        <v>25620462</v>
      </c>
      <c r="K1207" s="840">
        <v>32001369</v>
      </c>
      <c r="L1207" s="841">
        <v>339718703</v>
      </c>
      <c r="M1207" s="840">
        <v>968167350</v>
      </c>
      <c r="N1207" s="839">
        <f>Indicadores[[#This Row],[Ventas]]/Indicadores[[#This Row],[Activos totales]]</f>
        <v>2.849908884763404</v>
      </c>
      <c r="O1207" s="837">
        <f>IF(Indicadores[[#This Row],[Ventas]]=0,0,Indicadores[[#This Row],[EBITDA]]/Indicadores[[#This Row],[Ventas]])</f>
        <v>3.3053551124193559E-2</v>
      </c>
      <c r="P1207" s="837">
        <f>IF(Indicadores[[#This Row],[Ventas]]=0,0,Indicadores[[#This Row],[UAI]]/Indicadores[[#This Row],[Ventas]])</f>
        <v>2.6462844465887019E-2</v>
      </c>
      <c r="Q1207" s="837">
        <f>IFERROR(Indicadores[[#This Row],[Ventas]]/Indicadores[[#This Row],[Activos totales]],0)</f>
        <v>2.849908884763404</v>
      </c>
    </row>
    <row r="1208" spans="1:17" hidden="1" x14ac:dyDescent="0.3">
      <c r="A1208" s="13" t="str">
        <f>MID(Indicadores[[#This Row],[CIIU]],2,4)</f>
        <v>7911</v>
      </c>
      <c r="B1208" s="13" t="str">
        <f>Indicadores[[#This Row],[CIIU]]&amp;Indicadores[[#This Row],[Año]]</f>
        <v>N79112018</v>
      </c>
      <c r="C1208" s="845" t="s">
        <v>3303</v>
      </c>
      <c r="D1208" s="845" t="s">
        <v>3327</v>
      </c>
      <c r="E1208" s="843">
        <v>2018</v>
      </c>
      <c r="F1208" s="844" t="s">
        <v>3328</v>
      </c>
      <c r="G1208" s="842" t="s">
        <v>3329</v>
      </c>
      <c r="H1208" s="843" t="s">
        <v>3330</v>
      </c>
      <c r="I1208" s="842" t="s">
        <v>3329</v>
      </c>
      <c r="J1208" s="840">
        <v>8238296</v>
      </c>
      <c r="K1208" s="840">
        <v>16831420</v>
      </c>
      <c r="L1208" s="841">
        <v>773630191</v>
      </c>
      <c r="M1208" s="840">
        <v>684089145</v>
      </c>
      <c r="N1208" s="839">
        <f>Indicadores[[#This Row],[Ventas]]/Indicadores[[#This Row],[Activos totales]]</f>
        <v>0.88425859403928042</v>
      </c>
      <c r="O1208" s="837">
        <f>IF(Indicadores[[#This Row],[Ventas]]=0,0,Indicadores[[#This Row],[EBITDA]]/Indicadores[[#This Row],[Ventas]])</f>
        <v>2.4604132550590317E-2</v>
      </c>
      <c r="P1208" s="837">
        <f>IF(Indicadores[[#This Row],[Ventas]]=0,0,Indicadores[[#This Row],[UAI]]/Indicadores[[#This Row],[Ventas]])</f>
        <v>1.2042722882264123E-2</v>
      </c>
      <c r="Q1208" s="837">
        <f>IFERROR(Indicadores[[#This Row],[Ventas]]/Indicadores[[#This Row],[Activos totales]],0)</f>
        <v>0.88425859403928042</v>
      </c>
    </row>
    <row r="1209" spans="1:17" hidden="1" x14ac:dyDescent="0.3">
      <c r="A1209" s="13" t="str">
        <f>MID(Indicadores[[#This Row],[CIIU]],2,4)</f>
        <v>7912</v>
      </c>
      <c r="B1209" s="13" t="str">
        <f>Indicadores[[#This Row],[CIIU]]&amp;Indicadores[[#This Row],[Año]]</f>
        <v>N79122018</v>
      </c>
      <c r="C1209" s="845" t="s">
        <v>3303</v>
      </c>
      <c r="D1209" s="845" t="s">
        <v>3327</v>
      </c>
      <c r="E1209" s="843">
        <v>2018</v>
      </c>
      <c r="F1209" s="844" t="s">
        <v>3331</v>
      </c>
      <c r="G1209" s="842" t="s">
        <v>3332</v>
      </c>
      <c r="H1209" s="843" t="s">
        <v>3333</v>
      </c>
      <c r="I1209" s="842" t="s">
        <v>3332</v>
      </c>
      <c r="J1209" s="840">
        <v>46766904</v>
      </c>
      <c r="K1209" s="840">
        <v>55995790</v>
      </c>
      <c r="L1209" s="841">
        <v>1420137568</v>
      </c>
      <c r="M1209" s="840">
        <v>957925496</v>
      </c>
      <c r="N1209" s="839">
        <f>Indicadores[[#This Row],[Ventas]]/Indicadores[[#This Row],[Activos totales]]</f>
        <v>0.67453007200496795</v>
      </c>
      <c r="O1209" s="837">
        <f>IF(Indicadores[[#This Row],[Ventas]]=0,0,Indicadores[[#This Row],[EBITDA]]/Indicadores[[#This Row],[Ventas]])</f>
        <v>5.8455266337331106E-2</v>
      </c>
      <c r="P1209" s="837">
        <f>IF(Indicadores[[#This Row],[Ventas]]=0,0,Indicadores[[#This Row],[UAI]]/Indicadores[[#This Row],[Ventas]])</f>
        <v>4.8821024385804636E-2</v>
      </c>
      <c r="Q1209" s="837">
        <f>IFERROR(Indicadores[[#This Row],[Ventas]]/Indicadores[[#This Row],[Activos totales]],0)</f>
        <v>0.67453007200496795</v>
      </c>
    </row>
    <row r="1210" spans="1:17" hidden="1" x14ac:dyDescent="0.3">
      <c r="A1210" s="13" t="str">
        <f>MID(Indicadores[[#This Row],[CIIU]],2,4)</f>
        <v>7990</v>
      </c>
      <c r="B1210" s="13" t="str">
        <f>Indicadores[[#This Row],[CIIU]]&amp;Indicadores[[#This Row],[Año]]</f>
        <v>N79902018</v>
      </c>
      <c r="C1210" s="845" t="s">
        <v>3303</v>
      </c>
      <c r="D1210" s="845" t="s">
        <v>3327</v>
      </c>
      <c r="E1210" s="843">
        <v>2018</v>
      </c>
      <c r="F1210" s="844" t="s">
        <v>3334</v>
      </c>
      <c r="G1210" s="842" t="s">
        <v>3335</v>
      </c>
      <c r="H1210" s="843" t="s">
        <v>3336</v>
      </c>
      <c r="I1210" s="842" t="s">
        <v>3335</v>
      </c>
      <c r="J1210" s="840">
        <v>13205981</v>
      </c>
      <c r="K1210" s="840">
        <v>15271999</v>
      </c>
      <c r="L1210" s="841">
        <v>666826393</v>
      </c>
      <c r="M1210" s="840">
        <v>111448712</v>
      </c>
      <c r="N1210" s="839">
        <f>Indicadores[[#This Row],[Ventas]]/Indicadores[[#This Row],[Activos totales]]</f>
        <v>0.16713302468218291</v>
      </c>
      <c r="O1210" s="837">
        <f>IF(Indicadores[[#This Row],[Ventas]]=0,0,Indicadores[[#This Row],[EBITDA]]/Indicadores[[#This Row],[Ventas]])</f>
        <v>0.1370316329900699</v>
      </c>
      <c r="P1210" s="837">
        <f>IF(Indicadores[[#This Row],[Ventas]]=0,0,Indicadores[[#This Row],[UAI]]/Indicadores[[#This Row],[Ventas]])</f>
        <v>0.11849379650076171</v>
      </c>
      <c r="Q1210" s="837">
        <f>IFERROR(Indicadores[[#This Row],[Ventas]]/Indicadores[[#This Row],[Activos totales]],0)</f>
        <v>0.16713302468218291</v>
      </c>
    </row>
    <row r="1211" spans="1:17" hidden="1" x14ac:dyDescent="0.3">
      <c r="A1211" s="13" t="str">
        <f>MID(Indicadores[[#This Row],[CIIU]],2,4)</f>
        <v>8010</v>
      </c>
      <c r="B1211" s="13" t="str">
        <f>Indicadores[[#This Row],[CIIU]]&amp;Indicadores[[#This Row],[Año]]</f>
        <v>N80102018</v>
      </c>
      <c r="C1211" s="845" t="s">
        <v>3303</v>
      </c>
      <c r="D1211" s="845" t="s">
        <v>3337</v>
      </c>
      <c r="E1211" s="843">
        <v>2018</v>
      </c>
      <c r="F1211" s="844" t="s">
        <v>3338</v>
      </c>
      <c r="G1211" s="842" t="s">
        <v>3339</v>
      </c>
      <c r="H1211" s="843" t="s">
        <v>3340</v>
      </c>
      <c r="I1211" s="842" t="s">
        <v>3339</v>
      </c>
      <c r="J1211" s="840">
        <v>10726866</v>
      </c>
      <c r="K1211" s="840">
        <v>13814531</v>
      </c>
      <c r="L1211" s="841">
        <v>157027413</v>
      </c>
      <c r="M1211" s="840">
        <v>268147689</v>
      </c>
      <c r="N1211" s="839">
        <f>Indicadores[[#This Row],[Ventas]]/Indicadores[[#This Row],[Activos totales]]</f>
        <v>1.7076488994950201</v>
      </c>
      <c r="O1211" s="837">
        <f>IF(Indicadores[[#This Row],[Ventas]]=0,0,Indicadores[[#This Row],[EBITDA]]/Indicadores[[#This Row],[Ventas]])</f>
        <v>5.1518366805689678E-2</v>
      </c>
      <c r="P1211" s="837">
        <f>IF(Indicadores[[#This Row],[Ventas]]=0,0,Indicadores[[#This Row],[UAI]]/Indicadores[[#This Row],[Ventas]])</f>
        <v>4.0003574298937923E-2</v>
      </c>
      <c r="Q1211" s="837">
        <f>IFERROR(Indicadores[[#This Row],[Ventas]]/Indicadores[[#This Row],[Activos totales]],0)</f>
        <v>1.7076488994950201</v>
      </c>
    </row>
    <row r="1212" spans="1:17" hidden="1" x14ac:dyDescent="0.3">
      <c r="A1212" s="13" t="str">
        <f>MID(Indicadores[[#This Row],[CIIU]],2,4)</f>
        <v>8020</v>
      </c>
      <c r="B1212" s="13" t="str">
        <f>Indicadores[[#This Row],[CIIU]]&amp;Indicadores[[#This Row],[Año]]</f>
        <v>N80202018</v>
      </c>
      <c r="C1212" s="845" t="s">
        <v>3303</v>
      </c>
      <c r="D1212" s="845" t="s">
        <v>3337</v>
      </c>
      <c r="E1212" s="843">
        <v>2018</v>
      </c>
      <c r="F1212" s="844" t="s">
        <v>3341</v>
      </c>
      <c r="G1212" s="838" t="s">
        <v>3342</v>
      </c>
      <c r="H1212" s="843" t="s">
        <v>3343</v>
      </c>
      <c r="I1212" s="842" t="s">
        <v>3342</v>
      </c>
      <c r="J1212" s="840">
        <v>57635326</v>
      </c>
      <c r="K1212" s="840">
        <v>79991241</v>
      </c>
      <c r="L1212" s="841">
        <v>508219479</v>
      </c>
      <c r="M1212" s="840">
        <v>461881096</v>
      </c>
      <c r="N1212" s="839">
        <f>Indicadores[[#This Row],[Ventas]]/Indicadores[[#This Row],[Activos totales]]</f>
        <v>0.90882210360929516</v>
      </c>
      <c r="O1212" s="837">
        <f>IF(Indicadores[[#This Row],[Ventas]]=0,0,Indicadores[[#This Row],[EBITDA]]/Indicadores[[#This Row],[Ventas]])</f>
        <v>0.17318578675928317</v>
      </c>
      <c r="P1212" s="837">
        <f>IF(Indicadores[[#This Row],[Ventas]]=0,0,Indicadores[[#This Row],[UAI]]/Indicadores[[#This Row],[Ventas]])</f>
        <v>0.12478390325808009</v>
      </c>
      <c r="Q1212" s="837">
        <f>IFERROR(Indicadores[[#This Row],[Ventas]]/Indicadores[[#This Row],[Activos totales]],0)</f>
        <v>0.90882210360929516</v>
      </c>
    </row>
    <row r="1213" spans="1:17" hidden="1" x14ac:dyDescent="0.3">
      <c r="A1213" s="13" t="str">
        <f>MID(Indicadores[[#This Row],[CIIU]],2,4)</f>
        <v>8110</v>
      </c>
      <c r="B1213" s="13" t="str">
        <f>Indicadores[[#This Row],[CIIU]]&amp;Indicadores[[#This Row],[Año]]</f>
        <v>N81102018</v>
      </c>
      <c r="C1213" s="845" t="s">
        <v>3303</v>
      </c>
      <c r="D1213" s="845" t="s">
        <v>3344</v>
      </c>
      <c r="E1213" s="843">
        <v>2018</v>
      </c>
      <c r="F1213" s="844" t="s">
        <v>3345</v>
      </c>
      <c r="G1213" s="842" t="s">
        <v>3346</v>
      </c>
      <c r="H1213" s="843" t="s">
        <v>3347</v>
      </c>
      <c r="I1213" s="842" t="s">
        <v>3346</v>
      </c>
      <c r="J1213" s="840">
        <v>3952598</v>
      </c>
      <c r="K1213" s="840">
        <v>4248916</v>
      </c>
      <c r="L1213" s="841">
        <v>48122592</v>
      </c>
      <c r="M1213" s="840">
        <v>93177175</v>
      </c>
      <c r="N1213" s="839">
        <f>Indicadores[[#This Row],[Ventas]]/Indicadores[[#This Row],[Activos totales]]</f>
        <v>1.9362459736167161</v>
      </c>
      <c r="O1213" s="837">
        <f>IF(Indicadores[[#This Row],[Ventas]]=0,0,Indicadores[[#This Row],[EBITDA]]/Indicadores[[#This Row],[Ventas]])</f>
        <v>4.5600395161154009E-2</v>
      </c>
      <c r="P1213" s="837">
        <f>IF(Indicadores[[#This Row],[Ventas]]=0,0,Indicadores[[#This Row],[UAI]]/Indicadores[[#This Row],[Ventas]])</f>
        <v>4.2420238647501385E-2</v>
      </c>
      <c r="Q1213" s="837">
        <f>IFERROR(Indicadores[[#This Row],[Ventas]]/Indicadores[[#This Row],[Activos totales]],0)</f>
        <v>1.9362459736167161</v>
      </c>
    </row>
    <row r="1214" spans="1:17" hidden="1" x14ac:dyDescent="0.3">
      <c r="A1214" s="13" t="str">
        <f>MID(Indicadores[[#This Row],[CIIU]],2,4)</f>
        <v>8121</v>
      </c>
      <c r="B1214" s="13" t="str">
        <f>Indicadores[[#This Row],[CIIU]]&amp;Indicadores[[#This Row],[Año]]</f>
        <v>N81212018</v>
      </c>
      <c r="C1214" s="845" t="s">
        <v>3303</v>
      </c>
      <c r="D1214" s="845" t="s">
        <v>3344</v>
      </c>
      <c r="E1214" s="843">
        <v>2018</v>
      </c>
      <c r="F1214" s="844" t="s">
        <v>3348</v>
      </c>
      <c r="G1214" s="842" t="s">
        <v>3349</v>
      </c>
      <c r="H1214" s="843" t="s">
        <v>3350</v>
      </c>
      <c r="I1214" s="842" t="s">
        <v>3349</v>
      </c>
      <c r="J1214" s="840">
        <v>24017785</v>
      </c>
      <c r="K1214" s="840">
        <v>28453331</v>
      </c>
      <c r="L1214" s="841">
        <v>322511043</v>
      </c>
      <c r="M1214" s="840">
        <v>933595674</v>
      </c>
      <c r="N1214" s="839">
        <f>Indicadores[[#This Row],[Ventas]]/Indicadores[[#This Row],[Activos totales]]</f>
        <v>2.8947711846257618</v>
      </c>
      <c r="O1214" s="837">
        <f>IF(Indicadores[[#This Row],[Ventas]]=0,0,Indicadores[[#This Row],[EBITDA]]/Indicadores[[#This Row],[Ventas]])</f>
        <v>3.0477145291485146E-2</v>
      </c>
      <c r="P1214" s="837">
        <f>IF(Indicadores[[#This Row],[Ventas]]=0,0,Indicadores[[#This Row],[UAI]]/Indicadores[[#This Row],[Ventas]])</f>
        <v>2.5726109994807025E-2</v>
      </c>
      <c r="Q1214" s="837">
        <f>IFERROR(Indicadores[[#This Row],[Ventas]]/Indicadores[[#This Row],[Activos totales]],0)</f>
        <v>2.8947711846257618</v>
      </c>
    </row>
    <row r="1215" spans="1:17" hidden="1" x14ac:dyDescent="0.3">
      <c r="A1215" s="13" t="str">
        <f>MID(Indicadores[[#This Row],[CIIU]],2,4)</f>
        <v>8129</v>
      </c>
      <c r="B1215" s="13" t="str">
        <f>Indicadores[[#This Row],[CIIU]]&amp;Indicadores[[#This Row],[Año]]</f>
        <v>N81292018</v>
      </c>
      <c r="C1215" s="845" t="s">
        <v>3303</v>
      </c>
      <c r="D1215" s="845" t="s">
        <v>3344</v>
      </c>
      <c r="E1215" s="843">
        <v>2018</v>
      </c>
      <c r="F1215" s="844" t="s">
        <v>3351</v>
      </c>
      <c r="G1215" s="842" t="s">
        <v>3352</v>
      </c>
      <c r="H1215" s="843" t="s">
        <v>3353</v>
      </c>
      <c r="I1215" s="842" t="s">
        <v>3352</v>
      </c>
      <c r="J1215" s="840">
        <v>10671601</v>
      </c>
      <c r="K1215" s="840">
        <v>16612159</v>
      </c>
      <c r="L1215" s="841">
        <v>210048275</v>
      </c>
      <c r="M1215" s="840">
        <v>717199694</v>
      </c>
      <c r="N1215" s="839">
        <f>Indicadores[[#This Row],[Ventas]]/Indicadores[[#This Row],[Activos totales]]</f>
        <v>3.414451720681829</v>
      </c>
      <c r="O1215" s="837">
        <f>IF(Indicadores[[#This Row],[Ventas]]=0,0,Indicadores[[#This Row],[EBITDA]]/Indicadores[[#This Row],[Ventas]])</f>
        <v>2.316252940286391E-2</v>
      </c>
      <c r="P1215" s="837">
        <f>IF(Indicadores[[#This Row],[Ventas]]=0,0,Indicadores[[#This Row],[UAI]]/Indicadores[[#This Row],[Ventas]])</f>
        <v>1.4879539254237328E-2</v>
      </c>
      <c r="Q1215" s="837">
        <f>IFERROR(Indicadores[[#This Row],[Ventas]]/Indicadores[[#This Row],[Activos totales]],0)</f>
        <v>3.414451720681829</v>
      </c>
    </row>
    <row r="1216" spans="1:17" hidden="1" x14ac:dyDescent="0.3">
      <c r="A1216" s="13" t="str">
        <f>MID(Indicadores[[#This Row],[CIIU]],2,4)</f>
        <v>8130</v>
      </c>
      <c r="B1216" s="13" t="str">
        <f>Indicadores[[#This Row],[CIIU]]&amp;Indicadores[[#This Row],[Año]]</f>
        <v>N81302018</v>
      </c>
      <c r="C1216" s="845" t="s">
        <v>3303</v>
      </c>
      <c r="D1216" s="845" t="s">
        <v>3344</v>
      </c>
      <c r="E1216" s="843">
        <v>2018</v>
      </c>
      <c r="F1216" s="844" t="s">
        <v>3354</v>
      </c>
      <c r="G1216" s="842" t="s">
        <v>3355</v>
      </c>
      <c r="H1216" s="843" t="s">
        <v>3356</v>
      </c>
      <c r="I1216" s="842" t="s">
        <v>3355</v>
      </c>
      <c r="J1216" s="840">
        <v>2435645</v>
      </c>
      <c r="K1216" s="840">
        <v>2543227</v>
      </c>
      <c r="L1216" s="841">
        <v>91195025</v>
      </c>
      <c r="M1216" s="840">
        <v>8142235</v>
      </c>
      <c r="N1216" s="839">
        <f>Indicadores[[#This Row],[Ventas]]/Indicadores[[#This Row],[Activos totales]]</f>
        <v>8.9283763012291517E-2</v>
      </c>
      <c r="O1216" s="837">
        <f>IF(Indicadores[[#This Row],[Ventas]]=0,0,Indicadores[[#This Row],[EBITDA]]/Indicadores[[#This Row],[Ventas]])</f>
        <v>0.31234998744202297</v>
      </c>
      <c r="P1216" s="837">
        <f>IF(Indicadores[[#This Row],[Ventas]]=0,0,Indicadores[[#This Row],[UAI]]/Indicadores[[#This Row],[Ventas]])</f>
        <v>0.29913715337373581</v>
      </c>
      <c r="Q1216" s="837">
        <f>IFERROR(Indicadores[[#This Row],[Ventas]]/Indicadores[[#This Row],[Activos totales]],0)</f>
        <v>8.9283763012291517E-2</v>
      </c>
    </row>
    <row r="1217" spans="1:17" hidden="1" x14ac:dyDescent="0.3">
      <c r="A1217" s="13" t="str">
        <f>MID(Indicadores[[#This Row],[CIIU]],2,4)</f>
        <v>8211</v>
      </c>
      <c r="B1217" s="13" t="str">
        <f>Indicadores[[#This Row],[CIIU]]&amp;Indicadores[[#This Row],[Año]]</f>
        <v>N82112018</v>
      </c>
      <c r="C1217" s="845" t="s">
        <v>3303</v>
      </c>
      <c r="D1217" s="845" t="s">
        <v>3357</v>
      </c>
      <c r="E1217" s="843">
        <v>2018</v>
      </c>
      <c r="F1217" s="844" t="s">
        <v>3358</v>
      </c>
      <c r="G1217" s="842" t="s">
        <v>3359</v>
      </c>
      <c r="H1217" s="843" t="s">
        <v>3360</v>
      </c>
      <c r="I1217" s="842" t="s">
        <v>3359</v>
      </c>
      <c r="J1217" s="840">
        <v>21185839</v>
      </c>
      <c r="K1217" s="840">
        <v>26807724</v>
      </c>
      <c r="L1217" s="841">
        <v>664500566</v>
      </c>
      <c r="M1217" s="840">
        <v>94627251</v>
      </c>
      <c r="N1217" s="839">
        <f>Indicadores[[#This Row],[Ventas]]/Indicadores[[#This Row],[Activos totales]]</f>
        <v>0.14240356719274788</v>
      </c>
      <c r="O1217" s="837">
        <f>IF(Indicadores[[#This Row],[Ventas]]=0,0,Indicadores[[#This Row],[EBITDA]]/Indicadores[[#This Row],[Ventas]])</f>
        <v>0.28329813786939662</v>
      </c>
      <c r="P1217" s="837">
        <f>IF(Indicadores[[#This Row],[Ventas]]=0,0,Indicadores[[#This Row],[UAI]]/Indicadores[[#This Row],[Ventas]])</f>
        <v>0.22388729225580059</v>
      </c>
      <c r="Q1217" s="837">
        <f>IFERROR(Indicadores[[#This Row],[Ventas]]/Indicadores[[#This Row],[Activos totales]],0)</f>
        <v>0.14240356719274788</v>
      </c>
    </row>
    <row r="1218" spans="1:17" hidden="1" x14ac:dyDescent="0.3">
      <c r="A1218" s="13" t="str">
        <f>MID(Indicadores[[#This Row],[CIIU]],2,4)</f>
        <v>8219</v>
      </c>
      <c r="B1218" s="13" t="str">
        <f>Indicadores[[#This Row],[CIIU]]&amp;Indicadores[[#This Row],[Año]]</f>
        <v>N82192018</v>
      </c>
      <c r="C1218" s="845" t="s">
        <v>3303</v>
      </c>
      <c r="D1218" s="845" t="s">
        <v>3357</v>
      </c>
      <c r="E1218" s="843">
        <v>2018</v>
      </c>
      <c r="F1218" s="844" t="s">
        <v>3361</v>
      </c>
      <c r="G1218" s="842" t="s">
        <v>3362</v>
      </c>
      <c r="H1218" s="843" t="s">
        <v>3363</v>
      </c>
      <c r="I1218" s="842" t="s">
        <v>3362</v>
      </c>
      <c r="J1218" s="840">
        <v>3060563</v>
      </c>
      <c r="K1218" s="840">
        <v>3464279</v>
      </c>
      <c r="L1218" s="841">
        <v>104447315</v>
      </c>
      <c r="M1218" s="840">
        <v>23954414</v>
      </c>
      <c r="N1218" s="839">
        <f>Indicadores[[#This Row],[Ventas]]/Indicadores[[#This Row],[Activos totales]]</f>
        <v>0.22934446902727945</v>
      </c>
      <c r="O1218" s="837">
        <f>IF(Indicadores[[#This Row],[Ventas]]=0,0,Indicadores[[#This Row],[EBITDA]]/Indicadores[[#This Row],[Ventas]])</f>
        <v>0.14461965130935786</v>
      </c>
      <c r="P1218" s="837">
        <f>IF(Indicadores[[#This Row],[Ventas]]=0,0,Indicadores[[#This Row],[UAI]]/Indicadores[[#This Row],[Ventas]])</f>
        <v>0.12776613946807466</v>
      </c>
      <c r="Q1218" s="837">
        <f>IFERROR(Indicadores[[#This Row],[Ventas]]/Indicadores[[#This Row],[Activos totales]],0)</f>
        <v>0.22934446902727945</v>
      </c>
    </row>
    <row r="1219" spans="1:17" hidden="1" x14ac:dyDescent="0.3">
      <c r="A1219" s="13" t="str">
        <f>MID(Indicadores[[#This Row],[CIIU]],2,4)</f>
        <v>8220</v>
      </c>
      <c r="B1219" s="13" t="str">
        <f>Indicadores[[#This Row],[CIIU]]&amp;Indicadores[[#This Row],[Año]]</f>
        <v>N82202018</v>
      </c>
      <c r="C1219" s="845" t="s">
        <v>3303</v>
      </c>
      <c r="D1219" s="845" t="s">
        <v>3357</v>
      </c>
      <c r="E1219" s="843">
        <v>2018</v>
      </c>
      <c r="F1219" s="844" t="s">
        <v>3364</v>
      </c>
      <c r="G1219" s="842" t="s">
        <v>3365</v>
      </c>
      <c r="H1219" s="843" t="s">
        <v>3366</v>
      </c>
      <c r="I1219" s="842" t="s">
        <v>3365</v>
      </c>
      <c r="J1219" s="840">
        <v>213998167</v>
      </c>
      <c r="K1219" s="840">
        <v>346799897</v>
      </c>
      <c r="L1219" s="841">
        <v>2299515071</v>
      </c>
      <c r="M1219" s="840">
        <v>3460806177</v>
      </c>
      <c r="N1219" s="839">
        <f>Indicadores[[#This Row],[Ventas]]/Indicadores[[#This Row],[Activos totales]]</f>
        <v>1.5050156533633783</v>
      </c>
      <c r="O1219" s="837">
        <f>IF(Indicadores[[#This Row],[Ventas]]=0,0,Indicadores[[#This Row],[EBITDA]]/Indicadores[[#This Row],[Ventas]])</f>
        <v>0.10020783576519836</v>
      </c>
      <c r="P1219" s="837">
        <f>IF(Indicadores[[#This Row],[Ventas]]=0,0,Indicadores[[#This Row],[UAI]]/Indicadores[[#This Row],[Ventas]])</f>
        <v>6.1834773765199504E-2</v>
      </c>
      <c r="Q1219" s="837">
        <f>IFERROR(Indicadores[[#This Row],[Ventas]]/Indicadores[[#This Row],[Activos totales]],0)</f>
        <v>1.5050156533633783</v>
      </c>
    </row>
    <row r="1220" spans="1:17" hidden="1" x14ac:dyDescent="0.3">
      <c r="A1220" s="13" t="str">
        <f>MID(Indicadores[[#This Row],[CIIU]],2,4)</f>
        <v>8230</v>
      </c>
      <c r="B1220" s="13" t="str">
        <f>Indicadores[[#This Row],[CIIU]]&amp;Indicadores[[#This Row],[Año]]</f>
        <v>N82302018</v>
      </c>
      <c r="C1220" s="845" t="s">
        <v>3303</v>
      </c>
      <c r="D1220" s="845" t="s">
        <v>3357</v>
      </c>
      <c r="E1220" s="843">
        <v>2018</v>
      </c>
      <c r="F1220" s="844" t="s">
        <v>3367</v>
      </c>
      <c r="G1220" s="842" t="s">
        <v>3368</v>
      </c>
      <c r="H1220" s="843" t="s">
        <v>3369</v>
      </c>
      <c r="I1220" s="842" t="s">
        <v>3368</v>
      </c>
      <c r="J1220" s="840">
        <v>2631794</v>
      </c>
      <c r="K1220" s="840">
        <v>8595618</v>
      </c>
      <c r="L1220" s="841">
        <v>536906358</v>
      </c>
      <c r="M1220" s="840">
        <v>149201678</v>
      </c>
      <c r="N1220" s="839">
        <f>Indicadores[[#This Row],[Ventas]]/Indicadores[[#This Row],[Activos totales]]</f>
        <v>0.27789143446872722</v>
      </c>
      <c r="O1220" s="837">
        <f>IF(Indicadores[[#This Row],[Ventas]]=0,0,Indicadores[[#This Row],[EBITDA]]/Indicadores[[#This Row],[Ventas]])</f>
        <v>5.7610732769372744E-2</v>
      </c>
      <c r="P1220" s="837">
        <f>IF(Indicadores[[#This Row],[Ventas]]=0,0,Indicadores[[#This Row],[UAI]]/Indicadores[[#This Row],[Ventas]])</f>
        <v>1.7639171591622448E-2</v>
      </c>
      <c r="Q1220" s="837">
        <f>IFERROR(Indicadores[[#This Row],[Ventas]]/Indicadores[[#This Row],[Activos totales]],0)</f>
        <v>0.27789143446872722</v>
      </c>
    </row>
    <row r="1221" spans="1:17" hidden="1" x14ac:dyDescent="0.3">
      <c r="A1221" s="13" t="str">
        <f>MID(Indicadores[[#This Row],[CIIU]],2,4)</f>
        <v>8291</v>
      </c>
      <c r="B1221" s="13" t="str">
        <f>Indicadores[[#This Row],[CIIU]]&amp;Indicadores[[#This Row],[Año]]</f>
        <v>N82912018</v>
      </c>
      <c r="C1221" s="845" t="s">
        <v>3303</v>
      </c>
      <c r="D1221" s="845" t="s">
        <v>3357</v>
      </c>
      <c r="E1221" s="843">
        <v>2018</v>
      </c>
      <c r="F1221" s="844" t="s">
        <v>3370</v>
      </c>
      <c r="G1221" s="842" t="s">
        <v>3371</v>
      </c>
      <c r="H1221" s="843" t="s">
        <v>3372</v>
      </c>
      <c r="I1221" s="842" t="s">
        <v>3371</v>
      </c>
      <c r="J1221" s="840">
        <v>97466561</v>
      </c>
      <c r="K1221" s="840">
        <v>102442509</v>
      </c>
      <c r="L1221" s="841">
        <v>360363688</v>
      </c>
      <c r="M1221" s="840">
        <v>290163224</v>
      </c>
      <c r="N1221" s="839">
        <f>Indicadores[[#This Row],[Ventas]]/Indicadores[[#This Row],[Activos totales]]</f>
        <v>0.80519551126360989</v>
      </c>
      <c r="O1221" s="837">
        <f>IF(Indicadores[[#This Row],[Ventas]]=0,0,Indicadores[[#This Row],[EBITDA]]/Indicadores[[#This Row],[Ventas]])</f>
        <v>0.35305131914304894</v>
      </c>
      <c r="P1221" s="837">
        <f>IF(Indicadores[[#This Row],[Ventas]]=0,0,Indicadores[[#This Row],[UAI]]/Indicadores[[#This Row],[Ventas]])</f>
        <v>0.33590252981197921</v>
      </c>
      <c r="Q1221" s="837">
        <f>IFERROR(Indicadores[[#This Row],[Ventas]]/Indicadores[[#This Row],[Activos totales]],0)</f>
        <v>0.80519551126360989</v>
      </c>
    </row>
    <row r="1222" spans="1:17" hidden="1" x14ac:dyDescent="0.3">
      <c r="A1222" s="13" t="str">
        <f>MID(Indicadores[[#This Row],[CIIU]],2,4)</f>
        <v>8292</v>
      </c>
      <c r="B1222" s="13" t="str">
        <f>Indicadores[[#This Row],[CIIU]]&amp;Indicadores[[#This Row],[Año]]</f>
        <v>N82922018</v>
      </c>
      <c r="C1222" s="845" t="s">
        <v>3303</v>
      </c>
      <c r="D1222" s="845" t="s">
        <v>3357</v>
      </c>
      <c r="E1222" s="843">
        <v>2018</v>
      </c>
      <c r="F1222" s="844" t="s">
        <v>3373</v>
      </c>
      <c r="G1222" s="842" t="s">
        <v>3374</v>
      </c>
      <c r="H1222" s="843" t="s">
        <v>3375</v>
      </c>
      <c r="I1222" s="842" t="s">
        <v>3374</v>
      </c>
      <c r="J1222" s="840">
        <v>40866646</v>
      </c>
      <c r="K1222" s="840">
        <v>43537787</v>
      </c>
      <c r="L1222" s="841">
        <v>280461468</v>
      </c>
      <c r="M1222" s="840">
        <v>192044991</v>
      </c>
      <c r="N1222" s="839">
        <f>Indicadores[[#This Row],[Ventas]]/Indicadores[[#This Row],[Activos totales]]</f>
        <v>0.68474643725390472</v>
      </c>
      <c r="O1222" s="837">
        <f>IF(Indicadores[[#This Row],[Ventas]]=0,0,Indicadores[[#This Row],[EBITDA]]/Indicadores[[#This Row],[Ventas]])</f>
        <v>0.22670618365672449</v>
      </c>
      <c r="P1222" s="837">
        <f>IF(Indicadores[[#This Row],[Ventas]]=0,0,Indicadores[[#This Row],[UAI]]/Indicadores[[#This Row],[Ventas]])</f>
        <v>0.21279725020268819</v>
      </c>
      <c r="Q1222" s="837">
        <f>IFERROR(Indicadores[[#This Row],[Ventas]]/Indicadores[[#This Row],[Activos totales]],0)</f>
        <v>0.68474643725390472</v>
      </c>
    </row>
    <row r="1223" spans="1:17" hidden="1" x14ac:dyDescent="0.3">
      <c r="A1223" s="13" t="str">
        <f>MID(Indicadores[[#This Row],[CIIU]],2,4)</f>
        <v>8299</v>
      </c>
      <c r="B1223" s="13" t="str">
        <f>Indicadores[[#This Row],[CIIU]]&amp;Indicadores[[#This Row],[Año]]</f>
        <v>N82992018</v>
      </c>
      <c r="C1223" s="845" t="s">
        <v>3303</v>
      </c>
      <c r="D1223" s="845" t="s">
        <v>3357</v>
      </c>
      <c r="E1223" s="843">
        <v>2018</v>
      </c>
      <c r="F1223" s="844" t="s">
        <v>3376</v>
      </c>
      <c r="G1223" s="842" t="s">
        <v>3377</v>
      </c>
      <c r="H1223" s="843" t="s">
        <v>3378</v>
      </c>
      <c r="I1223" s="842" t="s">
        <v>3377</v>
      </c>
      <c r="J1223" s="840">
        <v>1550779128</v>
      </c>
      <c r="K1223" s="840">
        <v>1640392288</v>
      </c>
      <c r="L1223" s="841">
        <v>12035284441</v>
      </c>
      <c r="M1223" s="840">
        <v>3738885833</v>
      </c>
      <c r="N1223" s="839">
        <f>Indicadores[[#This Row],[Ventas]]/Indicadores[[#This Row],[Activos totales]]</f>
        <v>0.3106603629792849</v>
      </c>
      <c r="O1223" s="837">
        <f>IF(Indicadores[[#This Row],[Ventas]]=0,0,Indicadores[[#This Row],[EBITDA]]/Indicadores[[#This Row],[Ventas]])</f>
        <v>0.43873826622937701</v>
      </c>
      <c r="P1223" s="837">
        <f>IF(Indicadores[[#This Row],[Ventas]]=0,0,Indicadores[[#This Row],[UAI]]/Indicadores[[#This Row],[Ventas]])</f>
        <v>0.41477038809598765</v>
      </c>
      <c r="Q1223" s="837">
        <f>IFERROR(Indicadores[[#This Row],[Ventas]]/Indicadores[[#This Row],[Activos totales]],0)</f>
        <v>0.3106603629792849</v>
      </c>
    </row>
    <row r="1224" spans="1:17" hidden="1" x14ac:dyDescent="0.3">
      <c r="A1224" s="13" t="str">
        <f>MID(Indicadores[[#This Row],[CIIU]],2,4)</f>
        <v>8411</v>
      </c>
      <c r="B1224" s="13" t="str">
        <f>Indicadores[[#This Row],[CIIU]]&amp;Indicadores[[#This Row],[Año]]</f>
        <v>O84112018</v>
      </c>
      <c r="C1224" s="845" t="s">
        <v>3379</v>
      </c>
      <c r="D1224" s="845" t="s">
        <v>3380</v>
      </c>
      <c r="E1224" s="843">
        <v>2018</v>
      </c>
      <c r="F1224" s="844" t="s">
        <v>3381</v>
      </c>
      <c r="G1224" s="838" t="e">
        <v>#N/A</v>
      </c>
      <c r="H1224" s="843" t="s">
        <v>3382</v>
      </c>
      <c r="I1224" s="842" t="s">
        <v>3383</v>
      </c>
      <c r="J1224" s="840">
        <v>3297373</v>
      </c>
      <c r="K1224" s="840">
        <v>6502267</v>
      </c>
      <c r="L1224" s="841">
        <v>154919472</v>
      </c>
      <c r="M1224" s="840">
        <v>34517323</v>
      </c>
      <c r="N1224" s="839">
        <f>Indicadores[[#This Row],[Ventas]]/Indicadores[[#This Row],[Activos totales]]</f>
        <v>0.22280816319849064</v>
      </c>
      <c r="O1224" s="837">
        <f>IF(Indicadores[[#This Row],[Ventas]]=0,0,Indicadores[[#This Row],[EBITDA]]/Indicadores[[#This Row],[Ventas]])</f>
        <v>0.18837692019163826</v>
      </c>
      <c r="P1224" s="837">
        <f>IF(Indicadores[[#This Row],[Ventas]]=0,0,Indicadores[[#This Row],[UAI]]/Indicadores[[#This Row],[Ventas]])</f>
        <v>9.552806282225304E-2</v>
      </c>
      <c r="Q1224" s="837">
        <f>IFERROR(Indicadores[[#This Row],[Ventas]]/Indicadores[[#This Row],[Activos totales]],0)</f>
        <v>0.22280816319849064</v>
      </c>
    </row>
    <row r="1225" spans="1:17" hidden="1" x14ac:dyDescent="0.3">
      <c r="A1225" s="13" t="str">
        <f>MID(Indicadores[[#This Row],[CIIU]],2,4)</f>
        <v>8414</v>
      </c>
      <c r="B1225" s="13" t="str">
        <f>Indicadores[[#This Row],[CIIU]]&amp;Indicadores[[#This Row],[Año]]</f>
        <v>O84142018</v>
      </c>
      <c r="C1225" s="845" t="s">
        <v>3379</v>
      </c>
      <c r="D1225" s="845" t="s">
        <v>3380</v>
      </c>
      <c r="E1225" s="843">
        <v>2018</v>
      </c>
      <c r="F1225" s="844" t="s">
        <v>3387</v>
      </c>
      <c r="G1225" s="842" t="s">
        <v>3388</v>
      </c>
      <c r="H1225" s="843" t="s">
        <v>3389</v>
      </c>
      <c r="I1225" s="842" t="s">
        <v>3388</v>
      </c>
      <c r="J1225" s="840">
        <v>-105486</v>
      </c>
      <c r="K1225" s="840">
        <v>-105486</v>
      </c>
      <c r="L1225" s="841">
        <v>9798875</v>
      </c>
      <c r="M1225" s="840">
        <v>0</v>
      </c>
      <c r="N1225" s="839">
        <f>Indicadores[[#This Row],[Ventas]]/Indicadores[[#This Row],[Activos totales]]</f>
        <v>0</v>
      </c>
      <c r="O1225" s="837">
        <f>IF(Indicadores[[#This Row],[Ventas]]=0,0,Indicadores[[#This Row],[EBITDA]]/Indicadores[[#This Row],[Ventas]])</f>
        <v>0</v>
      </c>
      <c r="P1225" s="837">
        <f>IF(Indicadores[[#This Row],[Ventas]]=0,0,Indicadores[[#This Row],[UAI]]/Indicadores[[#This Row],[Ventas]])</f>
        <v>0</v>
      </c>
      <c r="Q1225" s="837">
        <f>IFERROR(Indicadores[[#This Row],[Ventas]]/Indicadores[[#This Row],[Activos totales]],0)</f>
        <v>0</v>
      </c>
    </row>
    <row r="1226" spans="1:17" hidden="1" x14ac:dyDescent="0.3">
      <c r="A1226" s="13" t="str">
        <f>MID(Indicadores[[#This Row],[CIIU]],2,4)</f>
        <v>8430</v>
      </c>
      <c r="B1226" s="13" t="str">
        <f>Indicadores[[#This Row],[CIIU]]&amp;Indicadores[[#This Row],[Año]]</f>
        <v>O84302018</v>
      </c>
      <c r="C1226" s="845" t="s">
        <v>3379</v>
      </c>
      <c r="D1226" s="845" t="s">
        <v>3380</v>
      </c>
      <c r="E1226" s="843">
        <v>2018</v>
      </c>
      <c r="F1226" s="844" t="s">
        <v>3396</v>
      </c>
      <c r="G1226" s="838" t="s">
        <v>3397</v>
      </c>
      <c r="H1226" s="843" t="s">
        <v>3398</v>
      </c>
      <c r="I1226" s="842" t="s">
        <v>3397</v>
      </c>
      <c r="J1226" s="840">
        <v>1153681</v>
      </c>
      <c r="K1226" s="840">
        <v>1537837</v>
      </c>
      <c r="L1226" s="841">
        <v>15518389</v>
      </c>
      <c r="M1226" s="840">
        <v>13212072</v>
      </c>
      <c r="N1226" s="839">
        <f>Indicadores[[#This Row],[Ventas]]/Indicadores[[#This Row],[Activos totales]]</f>
        <v>0.85138167370337214</v>
      </c>
      <c r="O1226" s="837">
        <f>IF(Indicadores[[#This Row],[Ventas]]=0,0,Indicadores[[#This Row],[EBITDA]]/Indicadores[[#This Row],[Ventas]])</f>
        <v>0.11639635327449017</v>
      </c>
      <c r="P1226" s="837">
        <f>IF(Indicadores[[#This Row],[Ventas]]=0,0,Indicadores[[#This Row],[UAI]]/Indicadores[[#This Row],[Ventas]])</f>
        <v>8.7320217449617293E-2</v>
      </c>
      <c r="Q1226" s="837">
        <f>IFERROR(Indicadores[[#This Row],[Ventas]]/Indicadores[[#This Row],[Activos totales]],0)</f>
        <v>0.85138167370337214</v>
      </c>
    </row>
    <row r="1227" spans="1:17" hidden="1" x14ac:dyDescent="0.3">
      <c r="A1227" s="13" t="str">
        <f>MID(Indicadores[[#This Row],[CIIU]],2,4)</f>
        <v>8511</v>
      </c>
      <c r="B1227" s="13" t="str">
        <f>Indicadores[[#This Row],[CIIU]]&amp;Indicadores[[#This Row],[Año]]</f>
        <v>P85112018</v>
      </c>
      <c r="C1227" s="845" t="s">
        <v>3399</v>
      </c>
      <c r="D1227" s="845" t="s">
        <v>3400</v>
      </c>
      <c r="E1227" s="843">
        <v>2018</v>
      </c>
      <c r="F1227" s="844" t="s">
        <v>3401</v>
      </c>
      <c r="G1227" s="842" t="s">
        <v>3402</v>
      </c>
      <c r="H1227" s="843" t="s">
        <v>3403</v>
      </c>
      <c r="I1227" s="842" t="s">
        <v>3402</v>
      </c>
      <c r="J1227" s="840">
        <v>-1604606</v>
      </c>
      <c r="K1227" s="840">
        <v>-1064688</v>
      </c>
      <c r="L1227" s="841">
        <v>9275847</v>
      </c>
      <c r="M1227" s="840">
        <v>11202971</v>
      </c>
      <c r="N1227" s="839">
        <f>Indicadores[[#This Row],[Ventas]]/Indicadores[[#This Row],[Activos totales]]</f>
        <v>1.2077571999624401</v>
      </c>
      <c r="O1227" s="837">
        <f>IF(Indicadores[[#This Row],[Ventas]]=0,0,Indicadores[[#This Row],[EBITDA]]/Indicadores[[#This Row],[Ventas]])</f>
        <v>-9.5036218517391496E-2</v>
      </c>
      <c r="P1227" s="837">
        <f>IF(Indicadores[[#This Row],[Ventas]]=0,0,Indicadores[[#This Row],[UAI]]/Indicadores[[#This Row],[Ventas]])</f>
        <v>-0.14323039843627194</v>
      </c>
      <c r="Q1227" s="837">
        <f>IFERROR(Indicadores[[#This Row],[Ventas]]/Indicadores[[#This Row],[Activos totales]],0)</f>
        <v>1.2077571999624401</v>
      </c>
    </row>
    <row r="1228" spans="1:17" hidden="1" x14ac:dyDescent="0.3">
      <c r="A1228" s="13" t="str">
        <f>MID(Indicadores[[#This Row],[CIIU]],2,4)</f>
        <v>8512</v>
      </c>
      <c r="B1228" s="13" t="str">
        <f>Indicadores[[#This Row],[CIIU]]&amp;Indicadores[[#This Row],[Año]]</f>
        <v>P85122018</v>
      </c>
      <c r="C1228" s="845" t="s">
        <v>3399</v>
      </c>
      <c r="D1228" s="845" t="s">
        <v>3400</v>
      </c>
      <c r="E1228" s="843">
        <v>2018</v>
      </c>
      <c r="F1228" s="844" t="s">
        <v>3404</v>
      </c>
      <c r="G1228" s="842" t="s">
        <v>3405</v>
      </c>
      <c r="H1228" s="843" t="s">
        <v>3406</v>
      </c>
      <c r="I1228" s="842" t="s">
        <v>3405</v>
      </c>
      <c r="J1228" s="840">
        <v>2789368</v>
      </c>
      <c r="K1228" s="840">
        <v>4270121</v>
      </c>
      <c r="L1228" s="841">
        <v>86308066</v>
      </c>
      <c r="M1228" s="840">
        <v>67084814</v>
      </c>
      <c r="N1228" s="839">
        <f>Indicadores[[#This Row],[Ventas]]/Indicadores[[#This Row],[Activos totales]]</f>
        <v>0.77727166311431428</v>
      </c>
      <c r="O1228" s="837">
        <f>IF(Indicadores[[#This Row],[Ventas]]=0,0,Indicadores[[#This Row],[EBITDA]]/Indicadores[[#This Row],[Ventas]])</f>
        <v>6.3652572697004126E-2</v>
      </c>
      <c r="P1228" s="837">
        <f>IF(Indicadores[[#This Row],[Ventas]]=0,0,Indicadores[[#This Row],[UAI]]/Indicadores[[#This Row],[Ventas]])</f>
        <v>4.1579723244071304E-2</v>
      </c>
      <c r="Q1228" s="837">
        <f>IFERROR(Indicadores[[#This Row],[Ventas]]/Indicadores[[#This Row],[Activos totales]],0)</f>
        <v>0.77727166311431428</v>
      </c>
    </row>
    <row r="1229" spans="1:17" hidden="1" x14ac:dyDescent="0.3">
      <c r="A1229" s="13" t="str">
        <f>MID(Indicadores[[#This Row],[CIIU]],2,4)</f>
        <v>8513</v>
      </c>
      <c r="B1229" s="13" t="str">
        <f>Indicadores[[#This Row],[CIIU]]&amp;Indicadores[[#This Row],[Año]]</f>
        <v>P85132018</v>
      </c>
      <c r="C1229" s="845" t="s">
        <v>3399</v>
      </c>
      <c r="D1229" s="845" t="s">
        <v>3400</v>
      </c>
      <c r="E1229" s="843">
        <v>2018</v>
      </c>
      <c r="F1229" s="844" t="s">
        <v>3407</v>
      </c>
      <c r="G1229" s="842" t="s">
        <v>3408</v>
      </c>
      <c r="H1229" s="843" t="s">
        <v>3409</v>
      </c>
      <c r="I1229" s="842" t="s">
        <v>3408</v>
      </c>
      <c r="J1229" s="840">
        <v>153241</v>
      </c>
      <c r="K1229" s="840">
        <v>991554</v>
      </c>
      <c r="L1229" s="841">
        <v>57768425</v>
      </c>
      <c r="M1229" s="840">
        <v>10960437</v>
      </c>
      <c r="N1229" s="839">
        <f>Indicadores[[#This Row],[Ventas]]/Indicadores[[#This Row],[Activos totales]]</f>
        <v>0.18973058379209751</v>
      </c>
      <c r="O1229" s="837">
        <f>IF(Indicadores[[#This Row],[Ventas]]=0,0,Indicadores[[#This Row],[EBITDA]]/Indicadores[[#This Row],[Ventas]])</f>
        <v>9.0466648364476709E-2</v>
      </c>
      <c r="P1229" s="837">
        <f>IF(Indicadores[[#This Row],[Ventas]]=0,0,Indicadores[[#This Row],[UAI]]/Indicadores[[#This Row],[Ventas]])</f>
        <v>1.3981285600200065E-2</v>
      </c>
      <c r="Q1229" s="837">
        <f>IFERROR(Indicadores[[#This Row],[Ventas]]/Indicadores[[#This Row],[Activos totales]],0)</f>
        <v>0.18973058379209751</v>
      </c>
    </row>
    <row r="1230" spans="1:17" hidden="1" x14ac:dyDescent="0.3">
      <c r="A1230" s="13" t="str">
        <f>MID(Indicadores[[#This Row],[CIIU]],2,4)</f>
        <v>8521</v>
      </c>
      <c r="B1230" s="13" t="str">
        <f>Indicadores[[#This Row],[CIIU]]&amp;Indicadores[[#This Row],[Año]]</f>
        <v>P85212018</v>
      </c>
      <c r="C1230" s="845" t="s">
        <v>3399</v>
      </c>
      <c r="D1230" s="845" t="s">
        <v>3400</v>
      </c>
      <c r="E1230" s="843">
        <v>2018</v>
      </c>
      <c r="F1230" s="844" t="s">
        <v>3410</v>
      </c>
      <c r="G1230" s="842" t="s">
        <v>3411</v>
      </c>
      <c r="H1230" s="843" t="s">
        <v>3412</v>
      </c>
      <c r="I1230" s="842" t="s">
        <v>3413</v>
      </c>
      <c r="J1230" s="840">
        <v>1303385</v>
      </c>
      <c r="K1230" s="840">
        <v>1900869</v>
      </c>
      <c r="L1230" s="841">
        <v>77243393</v>
      </c>
      <c r="M1230" s="840">
        <v>45560118</v>
      </c>
      <c r="N1230" s="839">
        <f>Indicadores[[#This Row],[Ventas]]/Indicadores[[#This Row],[Activos totales]]</f>
        <v>0.58982543659106224</v>
      </c>
      <c r="O1230" s="837">
        <f>IF(Indicadores[[#This Row],[Ventas]]=0,0,Indicadores[[#This Row],[EBITDA]]/Indicadores[[#This Row],[Ventas]])</f>
        <v>4.172221415229873E-2</v>
      </c>
      <c r="P1230" s="837">
        <f>IF(Indicadores[[#This Row],[Ventas]]=0,0,Indicadores[[#This Row],[UAI]]/Indicadores[[#This Row],[Ventas]])</f>
        <v>2.8608025115299307E-2</v>
      </c>
      <c r="Q1230" s="837">
        <f>IFERROR(Indicadores[[#This Row],[Ventas]]/Indicadores[[#This Row],[Activos totales]],0)</f>
        <v>0.58982543659106224</v>
      </c>
    </row>
    <row r="1231" spans="1:17" hidden="1" x14ac:dyDescent="0.3">
      <c r="A1231" s="13" t="str">
        <f>MID(Indicadores[[#This Row],[CIIU]],2,4)</f>
        <v>8522</v>
      </c>
      <c r="B1231" s="13" t="str">
        <f>Indicadores[[#This Row],[CIIU]]&amp;Indicadores[[#This Row],[Año]]</f>
        <v>P85222018</v>
      </c>
      <c r="C1231" s="845" t="s">
        <v>3399</v>
      </c>
      <c r="D1231" s="845" t="s">
        <v>3400</v>
      </c>
      <c r="E1231" s="843">
        <v>2018</v>
      </c>
      <c r="F1231" s="844" t="s">
        <v>3414</v>
      </c>
      <c r="G1231" s="842" t="s">
        <v>3415</v>
      </c>
      <c r="H1231" s="843" t="s">
        <v>3416</v>
      </c>
      <c r="I1231" s="842" t="s">
        <v>3415</v>
      </c>
      <c r="J1231" s="840">
        <v>2595727</v>
      </c>
      <c r="K1231" s="840">
        <v>4498513</v>
      </c>
      <c r="L1231" s="841">
        <v>80490326</v>
      </c>
      <c r="M1231" s="840">
        <v>78982317</v>
      </c>
      <c r="N1231" s="839">
        <f>Indicadores[[#This Row],[Ventas]]/Indicadores[[#This Row],[Activos totales]]</f>
        <v>0.98126471745188359</v>
      </c>
      <c r="O1231" s="837">
        <f>IF(Indicadores[[#This Row],[Ventas]]=0,0,Indicadores[[#This Row],[EBITDA]]/Indicadores[[#This Row],[Ventas]])</f>
        <v>5.6955951292236719E-2</v>
      </c>
      <c r="P1231" s="837">
        <f>IF(Indicadores[[#This Row],[Ventas]]=0,0,Indicadores[[#This Row],[UAI]]/Indicadores[[#This Row],[Ventas]])</f>
        <v>3.2864660073216138E-2</v>
      </c>
      <c r="Q1231" s="837">
        <f>IFERROR(Indicadores[[#This Row],[Ventas]]/Indicadores[[#This Row],[Activos totales]],0)</f>
        <v>0.98126471745188359</v>
      </c>
    </row>
    <row r="1232" spans="1:17" hidden="1" x14ac:dyDescent="0.3">
      <c r="A1232" s="13" t="str">
        <f>MID(Indicadores[[#This Row],[CIIU]],2,4)</f>
        <v>8523</v>
      </c>
      <c r="B1232" s="13" t="str">
        <f>Indicadores[[#This Row],[CIIU]]&amp;Indicadores[[#This Row],[Año]]</f>
        <v>P85232018</v>
      </c>
      <c r="C1232" s="845" t="s">
        <v>3399</v>
      </c>
      <c r="D1232" s="845" t="s">
        <v>3400</v>
      </c>
      <c r="E1232" s="843">
        <v>2018</v>
      </c>
      <c r="F1232" s="844" t="s">
        <v>3417</v>
      </c>
      <c r="G1232" s="842" t="s">
        <v>3418</v>
      </c>
      <c r="H1232" s="843" t="s">
        <v>3419</v>
      </c>
      <c r="I1232" s="842" t="s">
        <v>3418</v>
      </c>
      <c r="J1232" s="840">
        <v>7572320</v>
      </c>
      <c r="K1232" s="840">
        <v>15082721</v>
      </c>
      <c r="L1232" s="841">
        <v>206389936</v>
      </c>
      <c r="M1232" s="840">
        <v>162053725</v>
      </c>
      <c r="N1232" s="839">
        <f>Indicadores[[#This Row],[Ventas]]/Indicadores[[#This Row],[Activos totales]]</f>
        <v>0.78518230171843262</v>
      </c>
      <c r="O1232" s="837">
        <f>IF(Indicadores[[#This Row],[Ventas]]=0,0,Indicadores[[#This Row],[EBITDA]]/Indicadores[[#This Row],[Ventas]])</f>
        <v>9.3072349925927347E-2</v>
      </c>
      <c r="P1232" s="837">
        <f>IF(Indicadores[[#This Row],[Ventas]]=0,0,Indicadores[[#This Row],[UAI]]/Indicadores[[#This Row],[Ventas]])</f>
        <v>4.6727219630403438E-2</v>
      </c>
      <c r="Q1232" s="837">
        <f>IFERROR(Indicadores[[#This Row],[Ventas]]/Indicadores[[#This Row],[Activos totales]],0)</f>
        <v>0.78518230171843262</v>
      </c>
    </row>
    <row r="1233" spans="1:17" hidden="1" x14ac:dyDescent="0.3">
      <c r="A1233" s="13" t="str">
        <f>MID(Indicadores[[#This Row],[CIIU]],2,4)</f>
        <v>8530</v>
      </c>
      <c r="B1233" s="13" t="str">
        <f>Indicadores[[#This Row],[CIIU]]&amp;Indicadores[[#This Row],[Año]]</f>
        <v>P85302018</v>
      </c>
      <c r="C1233" s="845" t="s">
        <v>3399</v>
      </c>
      <c r="D1233" s="845" t="s">
        <v>3400</v>
      </c>
      <c r="E1233" s="843">
        <v>2018</v>
      </c>
      <c r="F1233" s="844" t="s">
        <v>3420</v>
      </c>
      <c r="G1233" s="842" t="s">
        <v>3421</v>
      </c>
      <c r="H1233" s="843" t="s">
        <v>3422</v>
      </c>
      <c r="I1233" s="842" t="s">
        <v>3423</v>
      </c>
      <c r="J1233" s="840">
        <v>28692870</v>
      </c>
      <c r="K1233" s="840">
        <v>39596431</v>
      </c>
      <c r="L1233" s="841">
        <v>594782040</v>
      </c>
      <c r="M1233" s="840">
        <v>342638374</v>
      </c>
      <c r="N1233" s="839">
        <f>Indicadores[[#This Row],[Ventas]]/Indicadores[[#This Row],[Activos totales]]</f>
        <v>0.57607384042732701</v>
      </c>
      <c r="O1233" s="837">
        <f>IF(Indicadores[[#This Row],[Ventas]]=0,0,Indicadores[[#This Row],[EBITDA]]/Indicadores[[#This Row],[Ventas]])</f>
        <v>0.11556332858385558</v>
      </c>
      <c r="P1233" s="837">
        <f>IF(Indicadores[[#This Row],[Ventas]]=0,0,Indicadores[[#This Row],[UAI]]/Indicadores[[#This Row],[Ventas]])</f>
        <v>8.3740970589593094E-2</v>
      </c>
      <c r="Q1233" s="837">
        <f>IFERROR(Indicadores[[#This Row],[Ventas]]/Indicadores[[#This Row],[Activos totales]],0)</f>
        <v>0.57607384042732701</v>
      </c>
    </row>
    <row r="1234" spans="1:17" hidden="1" x14ac:dyDescent="0.3">
      <c r="A1234" s="13" t="str">
        <f>MID(Indicadores[[#This Row],[CIIU]],2,4)</f>
        <v>8542</v>
      </c>
      <c r="B1234" s="13" t="str">
        <f>Indicadores[[#This Row],[CIIU]]&amp;Indicadores[[#This Row],[Año]]</f>
        <v>P85422018</v>
      </c>
      <c r="C1234" s="845" t="s">
        <v>3399</v>
      </c>
      <c r="D1234" s="845" t="s">
        <v>3400</v>
      </c>
      <c r="E1234" s="843">
        <v>2018</v>
      </c>
      <c r="F1234" s="844" t="s">
        <v>3424</v>
      </c>
      <c r="G1234" s="842" t="s">
        <v>3425</v>
      </c>
      <c r="H1234" s="843" t="s">
        <v>3426</v>
      </c>
      <c r="I1234" s="842" t="s">
        <v>3425</v>
      </c>
      <c r="J1234" s="840">
        <v>40042</v>
      </c>
      <c r="K1234" s="840">
        <v>43838</v>
      </c>
      <c r="L1234" s="841">
        <v>5598325</v>
      </c>
      <c r="M1234" s="840">
        <v>8515321</v>
      </c>
      <c r="N1234" s="839">
        <f>Indicadores[[#This Row],[Ventas]]/Indicadores[[#This Row],[Activos totales]]</f>
        <v>1.5210479920333313</v>
      </c>
      <c r="O1234" s="837">
        <f>IF(Indicadores[[#This Row],[Ventas]]=0,0,Indicadores[[#This Row],[EBITDA]]/Indicadores[[#This Row],[Ventas]])</f>
        <v>5.1481324074570999E-3</v>
      </c>
      <c r="P1234" s="837">
        <f>IF(Indicadores[[#This Row],[Ventas]]=0,0,Indicadores[[#This Row],[UAI]]/Indicadores[[#This Row],[Ventas]])</f>
        <v>4.7023476860120718E-3</v>
      </c>
      <c r="Q1234" s="837">
        <f>IFERROR(Indicadores[[#This Row],[Ventas]]/Indicadores[[#This Row],[Activos totales]],0)</f>
        <v>1.5210479920333313</v>
      </c>
    </row>
    <row r="1235" spans="1:17" hidden="1" x14ac:dyDescent="0.3">
      <c r="A1235" s="13" t="str">
        <f>MID(Indicadores[[#This Row],[CIIU]],2,4)</f>
        <v>8551</v>
      </c>
      <c r="B1235" s="13" t="str">
        <f>Indicadores[[#This Row],[CIIU]]&amp;Indicadores[[#This Row],[Año]]</f>
        <v>P85512018</v>
      </c>
      <c r="C1235" s="845" t="s">
        <v>3399</v>
      </c>
      <c r="D1235" s="845" t="s">
        <v>3400</v>
      </c>
      <c r="E1235" s="843">
        <v>2018</v>
      </c>
      <c r="F1235" s="844" t="s">
        <v>3427</v>
      </c>
      <c r="G1235" s="842" t="s">
        <v>3428</v>
      </c>
      <c r="H1235" s="843" t="s">
        <v>3429</v>
      </c>
      <c r="I1235" s="842" t="s">
        <v>3430</v>
      </c>
      <c r="J1235" s="840">
        <v>4291317</v>
      </c>
      <c r="K1235" s="840">
        <v>6274713</v>
      </c>
      <c r="L1235" s="841">
        <v>62360971</v>
      </c>
      <c r="M1235" s="840">
        <v>58713682</v>
      </c>
      <c r="N1235" s="839">
        <f>Indicadores[[#This Row],[Ventas]]/Indicadores[[#This Row],[Activos totales]]</f>
        <v>0.94151327438439025</v>
      </c>
      <c r="O1235" s="837">
        <f>IF(Indicadores[[#This Row],[Ventas]]=0,0,Indicadores[[#This Row],[EBITDA]]/Indicadores[[#This Row],[Ventas]])</f>
        <v>0.10686969010051184</v>
      </c>
      <c r="P1235" s="837">
        <f>IF(Indicadores[[#This Row],[Ventas]]=0,0,Indicadores[[#This Row],[UAI]]/Indicadores[[#This Row],[Ventas]])</f>
        <v>7.3088875604837733E-2</v>
      </c>
      <c r="Q1235" s="837">
        <f>IFERROR(Indicadores[[#This Row],[Ventas]]/Indicadores[[#This Row],[Activos totales]],0)</f>
        <v>0.94151327438439025</v>
      </c>
    </row>
    <row r="1236" spans="1:17" hidden="1" x14ac:dyDescent="0.3">
      <c r="A1236" s="13" t="str">
        <f>MID(Indicadores[[#This Row],[CIIU]],2,4)</f>
        <v>8559</v>
      </c>
      <c r="B1236" s="13" t="str">
        <f>Indicadores[[#This Row],[CIIU]]&amp;Indicadores[[#This Row],[Año]]</f>
        <v>P85592018</v>
      </c>
      <c r="C1236" s="845" t="s">
        <v>3399</v>
      </c>
      <c r="D1236" s="845" t="s">
        <v>3400</v>
      </c>
      <c r="E1236" s="843">
        <v>2018</v>
      </c>
      <c r="F1236" s="844" t="s">
        <v>3434</v>
      </c>
      <c r="G1236" s="842" t="s">
        <v>3435</v>
      </c>
      <c r="H1236" s="843" t="s">
        <v>3436</v>
      </c>
      <c r="I1236" s="842" t="s">
        <v>3435</v>
      </c>
      <c r="J1236" s="840">
        <v>7173066</v>
      </c>
      <c r="K1236" s="840">
        <v>10719139</v>
      </c>
      <c r="L1236" s="841">
        <v>64019961</v>
      </c>
      <c r="M1236" s="840">
        <v>79179734</v>
      </c>
      <c r="N1236" s="839">
        <f>Indicadores[[#This Row],[Ventas]]/Indicadores[[#This Row],[Activos totales]]</f>
        <v>1.2367975981741071</v>
      </c>
      <c r="O1236" s="837">
        <f>IF(Indicadores[[#This Row],[Ventas]]=0,0,Indicadores[[#This Row],[EBITDA]]/Indicadores[[#This Row],[Ventas]])</f>
        <v>0.1353773050058491</v>
      </c>
      <c r="P1236" s="837">
        <f>IF(Indicadores[[#This Row],[Ventas]]=0,0,Indicadores[[#This Row],[UAI]]/Indicadores[[#This Row],[Ventas]])</f>
        <v>9.0592196230414215E-2</v>
      </c>
      <c r="Q1236" s="837">
        <f>IFERROR(Indicadores[[#This Row],[Ventas]]/Indicadores[[#This Row],[Activos totales]],0)</f>
        <v>1.2367975981741071</v>
      </c>
    </row>
    <row r="1237" spans="1:17" hidden="1" x14ac:dyDescent="0.3">
      <c r="A1237" s="13" t="str">
        <f>MID(Indicadores[[#This Row],[CIIU]],2,4)</f>
        <v>8560</v>
      </c>
      <c r="B1237" s="13" t="str">
        <f>Indicadores[[#This Row],[CIIU]]&amp;Indicadores[[#This Row],[Año]]</f>
        <v>P85602018</v>
      </c>
      <c r="C1237" s="845" t="s">
        <v>3399</v>
      </c>
      <c r="D1237" s="845" t="s">
        <v>3400</v>
      </c>
      <c r="E1237" s="843">
        <v>2018</v>
      </c>
      <c r="F1237" s="844" t="s">
        <v>3437</v>
      </c>
      <c r="G1237" s="842" t="s">
        <v>3438</v>
      </c>
      <c r="H1237" s="843" t="s">
        <v>3439</v>
      </c>
      <c r="I1237" s="842" t="s">
        <v>3438</v>
      </c>
      <c r="J1237" s="840">
        <v>-13270333</v>
      </c>
      <c r="K1237" s="840">
        <v>-12944905</v>
      </c>
      <c r="L1237" s="841">
        <v>31211661</v>
      </c>
      <c r="M1237" s="840">
        <v>16043036</v>
      </c>
      <c r="N1237" s="839">
        <f>Indicadores[[#This Row],[Ventas]]/Indicadores[[#This Row],[Activos totales]]</f>
        <v>0.5140077613940508</v>
      </c>
      <c r="O1237" s="837">
        <f>IF(Indicadores[[#This Row],[Ventas]]=0,0,Indicadores[[#This Row],[EBITDA]]/Indicadores[[#This Row],[Ventas]])</f>
        <v>-0.80688624023532707</v>
      </c>
      <c r="P1237" s="837">
        <f>IF(Indicadores[[#This Row],[Ventas]]=0,0,Indicadores[[#This Row],[UAI]]/Indicadores[[#This Row],[Ventas]])</f>
        <v>-0.82717092949239779</v>
      </c>
      <c r="Q1237" s="837">
        <f>IFERROR(Indicadores[[#This Row],[Ventas]]/Indicadores[[#This Row],[Activos totales]],0)</f>
        <v>0.5140077613940508</v>
      </c>
    </row>
    <row r="1238" spans="1:17" hidden="1" x14ac:dyDescent="0.3">
      <c r="A1238" s="13" t="str">
        <f>MID(Indicadores[[#This Row],[CIIU]],2,4)</f>
        <v>8610</v>
      </c>
      <c r="B1238" s="13" t="str">
        <f>Indicadores[[#This Row],[CIIU]]&amp;Indicadores[[#This Row],[Año]]</f>
        <v>Q86102018</v>
      </c>
      <c r="C1238" s="845" t="s">
        <v>3440</v>
      </c>
      <c r="D1238" s="845" t="s">
        <v>3441</v>
      </c>
      <c r="E1238" s="843">
        <v>2018</v>
      </c>
      <c r="F1238" s="844" t="s">
        <v>3442</v>
      </c>
      <c r="G1238" s="842" t="s">
        <v>3443</v>
      </c>
      <c r="H1238" s="843" t="s">
        <v>3444</v>
      </c>
      <c r="I1238" s="842" t="s">
        <v>3443</v>
      </c>
      <c r="J1238" s="840">
        <v>12156453</v>
      </c>
      <c r="K1238" s="840">
        <v>12765653</v>
      </c>
      <c r="L1238" s="841">
        <v>170624753</v>
      </c>
      <c r="M1238" s="840">
        <v>144207168</v>
      </c>
      <c r="N1238" s="839">
        <f>Indicadores[[#This Row],[Ventas]]/Indicadores[[#This Row],[Activos totales]]</f>
        <v>0.84517143887088875</v>
      </c>
      <c r="O1238" s="837">
        <f>IF(Indicadores[[#This Row],[Ventas]]=0,0,Indicadores[[#This Row],[EBITDA]]/Indicadores[[#This Row],[Ventas]])</f>
        <v>8.8523012947594945E-2</v>
      </c>
      <c r="P1238" s="837">
        <f>IF(Indicadores[[#This Row],[Ventas]]=0,0,Indicadores[[#This Row],[UAI]]/Indicadores[[#This Row],[Ventas]])</f>
        <v>8.4298535007635678E-2</v>
      </c>
      <c r="Q1238" s="837">
        <f>IFERROR(Indicadores[[#This Row],[Ventas]]/Indicadores[[#This Row],[Activos totales]],0)</f>
        <v>0.84517143887088875</v>
      </c>
    </row>
    <row r="1239" spans="1:17" hidden="1" x14ac:dyDescent="0.3">
      <c r="A1239" s="13" t="str">
        <f>MID(Indicadores[[#This Row],[CIIU]],2,4)</f>
        <v>8621</v>
      </c>
      <c r="B1239" s="13" t="str">
        <f>Indicadores[[#This Row],[CIIU]]&amp;Indicadores[[#This Row],[Año]]</f>
        <v>Q86212018</v>
      </c>
      <c r="C1239" s="845" t="s">
        <v>3440</v>
      </c>
      <c r="D1239" s="845" t="s">
        <v>3441</v>
      </c>
      <c r="E1239" s="843">
        <v>2018</v>
      </c>
      <c r="F1239" s="844" t="s">
        <v>3445</v>
      </c>
      <c r="G1239" s="842" t="s">
        <v>3446</v>
      </c>
      <c r="H1239" s="843" t="s">
        <v>3447</v>
      </c>
      <c r="I1239" s="842" t="s">
        <v>3446</v>
      </c>
      <c r="J1239" s="840">
        <v>37341511</v>
      </c>
      <c r="K1239" s="840">
        <v>39869001</v>
      </c>
      <c r="L1239" s="841">
        <v>291180812</v>
      </c>
      <c r="M1239" s="840">
        <v>221967724</v>
      </c>
      <c r="N1239" s="839">
        <f>Indicadores[[#This Row],[Ventas]]/Indicadores[[#This Row],[Activos totales]]</f>
        <v>0.76230202970929284</v>
      </c>
      <c r="O1239" s="837">
        <f>IF(Indicadores[[#This Row],[Ventas]]=0,0,Indicadores[[#This Row],[EBITDA]]/Indicadores[[#This Row],[Ventas]])</f>
        <v>0.17961620852588461</v>
      </c>
      <c r="P1239" s="837">
        <f>IF(Indicadores[[#This Row],[Ventas]]=0,0,Indicadores[[#This Row],[UAI]]/Indicadores[[#This Row],[Ventas]])</f>
        <v>0.1682294629466039</v>
      </c>
      <c r="Q1239" s="837">
        <f>IFERROR(Indicadores[[#This Row],[Ventas]]/Indicadores[[#This Row],[Activos totales]],0)</f>
        <v>0.76230202970929284</v>
      </c>
    </row>
    <row r="1240" spans="1:17" hidden="1" x14ac:dyDescent="0.3">
      <c r="A1240" s="13" t="str">
        <f>MID(Indicadores[[#This Row],[CIIU]],2,4)</f>
        <v>8622</v>
      </c>
      <c r="B1240" s="13" t="str">
        <f>Indicadores[[#This Row],[CIIU]]&amp;Indicadores[[#This Row],[Año]]</f>
        <v>Q86222018</v>
      </c>
      <c r="C1240" s="845" t="s">
        <v>3440</v>
      </c>
      <c r="D1240" s="845" t="s">
        <v>3441</v>
      </c>
      <c r="E1240" s="843">
        <v>2018</v>
      </c>
      <c r="F1240" s="844" t="s">
        <v>3448</v>
      </c>
      <c r="G1240" s="842" t="s">
        <v>3449</v>
      </c>
      <c r="H1240" s="843" t="s">
        <v>3450</v>
      </c>
      <c r="I1240" s="842" t="s">
        <v>3449</v>
      </c>
      <c r="J1240" s="840">
        <v>26617</v>
      </c>
      <c r="K1240" s="840">
        <v>26617</v>
      </c>
      <c r="L1240" s="841">
        <v>345603</v>
      </c>
      <c r="M1240" s="840">
        <v>71209</v>
      </c>
      <c r="N1240" s="839">
        <f>Indicadores[[#This Row],[Ventas]]/Indicadores[[#This Row],[Activos totales]]</f>
        <v>0.20604277161945933</v>
      </c>
      <c r="O1240" s="837">
        <f>IF(Indicadores[[#This Row],[Ventas]]=0,0,Indicadores[[#This Row],[EBITDA]]/Indicadores[[#This Row],[Ventas]])</f>
        <v>0.3737870213034869</v>
      </c>
      <c r="P1240" s="837">
        <f>IF(Indicadores[[#This Row],[Ventas]]=0,0,Indicadores[[#This Row],[UAI]]/Indicadores[[#This Row],[Ventas]])</f>
        <v>0.3737870213034869</v>
      </c>
      <c r="Q1240" s="837">
        <f>IFERROR(Indicadores[[#This Row],[Ventas]]/Indicadores[[#This Row],[Activos totales]],0)</f>
        <v>0.20604277161945933</v>
      </c>
    </row>
    <row r="1241" spans="1:17" hidden="1" x14ac:dyDescent="0.3">
      <c r="A1241" s="13" t="str">
        <f>MID(Indicadores[[#This Row],[CIIU]],2,4)</f>
        <v>8691</v>
      </c>
      <c r="B1241" s="13" t="str">
        <f>Indicadores[[#This Row],[CIIU]]&amp;Indicadores[[#This Row],[Año]]</f>
        <v>Q86912018</v>
      </c>
      <c r="C1241" s="845" t="s">
        <v>3440</v>
      </c>
      <c r="D1241" s="845" t="s">
        <v>3441</v>
      </c>
      <c r="E1241" s="843">
        <v>2018</v>
      </c>
      <c r="F1241" s="844" t="s">
        <v>3451</v>
      </c>
      <c r="G1241" s="842" t="s">
        <v>3452</v>
      </c>
      <c r="H1241" s="843" t="s">
        <v>3453</v>
      </c>
      <c r="I1241" s="842" t="s">
        <v>3452</v>
      </c>
      <c r="J1241" s="840">
        <v>29275700</v>
      </c>
      <c r="K1241" s="840">
        <v>30202117</v>
      </c>
      <c r="L1241" s="841">
        <v>104334559</v>
      </c>
      <c r="M1241" s="840">
        <v>29676911</v>
      </c>
      <c r="N1241" s="839">
        <f>Indicadores[[#This Row],[Ventas]]/Indicadores[[#This Row],[Activos totales]]</f>
        <v>0.28443989493452498</v>
      </c>
      <c r="O1241" s="837">
        <f>IF(Indicadores[[#This Row],[Ventas]]=0,0,Indicadores[[#This Row],[EBITDA]]/Indicadores[[#This Row],[Ventas]])</f>
        <v>1.0176974618416317</v>
      </c>
      <c r="P1241" s="837">
        <f>IF(Indicadores[[#This Row],[Ventas]]=0,0,Indicadores[[#This Row],[UAI]]/Indicadores[[#This Row],[Ventas]])</f>
        <v>0.98648070211889638</v>
      </c>
      <c r="Q1241" s="837">
        <f>IFERROR(Indicadores[[#This Row],[Ventas]]/Indicadores[[#This Row],[Activos totales]],0)</f>
        <v>0.28443989493452498</v>
      </c>
    </row>
    <row r="1242" spans="1:17" hidden="1" x14ac:dyDescent="0.3">
      <c r="A1242" s="13" t="str">
        <f>MID(Indicadores[[#This Row],[CIIU]],2,4)</f>
        <v>8692</v>
      </c>
      <c r="B1242" s="13" t="str">
        <f>Indicadores[[#This Row],[CIIU]]&amp;Indicadores[[#This Row],[Año]]</f>
        <v>Q86922018</v>
      </c>
      <c r="C1242" s="845" t="s">
        <v>3440</v>
      </c>
      <c r="D1242" s="845" t="s">
        <v>3441</v>
      </c>
      <c r="E1242" s="843">
        <v>2018</v>
      </c>
      <c r="F1242" s="844" t="s">
        <v>3454</v>
      </c>
      <c r="G1242" s="842" t="s">
        <v>3455</v>
      </c>
      <c r="H1242" s="843" t="s">
        <v>3456</v>
      </c>
      <c r="I1242" s="842" t="s">
        <v>3455</v>
      </c>
      <c r="J1242" s="840">
        <v>35867</v>
      </c>
      <c r="K1242" s="840">
        <v>55915</v>
      </c>
      <c r="L1242" s="841">
        <v>4839661</v>
      </c>
      <c r="M1242" s="840">
        <v>7032238</v>
      </c>
      <c r="N1242" s="839">
        <f>Indicadores[[#This Row],[Ventas]]/Indicadores[[#This Row],[Activos totales]]</f>
        <v>1.4530435086259141</v>
      </c>
      <c r="O1242" s="837">
        <f>IF(Indicadores[[#This Row],[Ventas]]=0,0,Indicadores[[#This Row],[EBITDA]]/Indicadores[[#This Row],[Ventas]])</f>
        <v>7.9512382828908802E-3</v>
      </c>
      <c r="P1242" s="837">
        <f>IF(Indicadores[[#This Row],[Ventas]]=0,0,Indicadores[[#This Row],[UAI]]/Indicadores[[#This Row],[Ventas]])</f>
        <v>5.1003677634346278E-3</v>
      </c>
      <c r="Q1242" s="837">
        <f>IFERROR(Indicadores[[#This Row],[Ventas]]/Indicadores[[#This Row],[Activos totales]],0)</f>
        <v>1.4530435086259141</v>
      </c>
    </row>
    <row r="1243" spans="1:17" hidden="1" x14ac:dyDescent="0.3">
      <c r="A1243" s="13" t="str">
        <f>MID(Indicadores[[#This Row],[CIIU]],2,4)</f>
        <v>8699</v>
      </c>
      <c r="B1243" s="13" t="str">
        <f>Indicadores[[#This Row],[CIIU]]&amp;Indicadores[[#This Row],[Año]]</f>
        <v>Q86992018</v>
      </c>
      <c r="C1243" s="845" t="s">
        <v>3440</v>
      </c>
      <c r="D1243" s="845" t="s">
        <v>3441</v>
      </c>
      <c r="E1243" s="843">
        <v>2018</v>
      </c>
      <c r="F1243" s="844" t="s">
        <v>3457</v>
      </c>
      <c r="G1243" s="842" t="s">
        <v>3458</v>
      </c>
      <c r="H1243" s="843" t="s">
        <v>3459</v>
      </c>
      <c r="I1243" s="842" t="s">
        <v>3458</v>
      </c>
      <c r="J1243" s="840">
        <v>-478202217</v>
      </c>
      <c r="K1243" s="840">
        <v>-475576281</v>
      </c>
      <c r="L1243" s="841">
        <v>1338150630</v>
      </c>
      <c r="M1243" s="840">
        <v>2039604189</v>
      </c>
      <c r="N1243" s="839">
        <f>Indicadores[[#This Row],[Ventas]]/Indicadores[[#This Row],[Activos totales]]</f>
        <v>1.5241962625687364</v>
      </c>
      <c r="O1243" s="837">
        <f>IF(Indicadores[[#This Row],[Ventas]]=0,0,Indicadores[[#This Row],[EBITDA]]/Indicadores[[#This Row],[Ventas]])</f>
        <v>-0.23317086891901848</v>
      </c>
      <c r="P1243" s="837">
        <f>IF(Indicadores[[#This Row],[Ventas]]=0,0,Indicadores[[#This Row],[UAI]]/Indicadores[[#This Row],[Ventas]])</f>
        <v>-0.23445834225044337</v>
      </c>
      <c r="Q1243" s="837">
        <f>IFERROR(Indicadores[[#This Row],[Ventas]]/Indicadores[[#This Row],[Activos totales]],0)</f>
        <v>1.5241962625687364</v>
      </c>
    </row>
    <row r="1244" spans="1:17" hidden="1" x14ac:dyDescent="0.3">
      <c r="A1244" s="13" t="str">
        <f>MID(Indicadores[[#This Row],[CIIU]],2,4)</f>
        <v>8710</v>
      </c>
      <c r="B1244" s="13" t="str">
        <f>Indicadores[[#This Row],[CIIU]]&amp;Indicadores[[#This Row],[Año]]</f>
        <v>Q87102018</v>
      </c>
      <c r="C1244" s="845" t="s">
        <v>3440</v>
      </c>
      <c r="D1244" s="845" t="s">
        <v>3460</v>
      </c>
      <c r="E1244" s="843">
        <v>2018</v>
      </c>
      <c r="F1244" s="844" t="s">
        <v>3579</v>
      </c>
      <c r="G1244" s="842" t="s">
        <v>3580</v>
      </c>
      <c r="H1244" s="843" t="s">
        <v>3581</v>
      </c>
      <c r="I1244" s="842" t="s">
        <v>3580</v>
      </c>
      <c r="J1244" s="840">
        <v>527307</v>
      </c>
      <c r="K1244" s="840">
        <v>655776</v>
      </c>
      <c r="L1244" s="841">
        <v>4449807</v>
      </c>
      <c r="M1244" s="840">
        <v>10887322</v>
      </c>
      <c r="N1244" s="839">
        <f>Indicadores[[#This Row],[Ventas]]/Indicadores[[#This Row],[Activos totales]]</f>
        <v>2.4466953285839139</v>
      </c>
      <c r="O1244" s="837">
        <f>IF(Indicadores[[#This Row],[Ventas]]=0,0,Indicadores[[#This Row],[EBITDA]]/Indicadores[[#This Row],[Ventas]])</f>
        <v>6.0232993935515088E-2</v>
      </c>
      <c r="P1244" s="837">
        <f>IF(Indicadores[[#This Row],[Ventas]]=0,0,Indicadores[[#This Row],[UAI]]/Indicadores[[#This Row],[Ventas]])</f>
        <v>4.8433122488707507E-2</v>
      </c>
      <c r="Q1244" s="837">
        <f>IFERROR(Indicadores[[#This Row],[Ventas]]/Indicadores[[#This Row],[Activos totales]],0)</f>
        <v>2.4466953285839139</v>
      </c>
    </row>
    <row r="1245" spans="1:17" hidden="1" x14ac:dyDescent="0.3">
      <c r="A1245" s="13" t="str">
        <f>MID(Indicadores[[#This Row],[CIIU]],2,4)</f>
        <v>8810</v>
      </c>
      <c r="B1245" s="13" t="str">
        <f>Indicadores[[#This Row],[CIIU]]&amp;Indicadores[[#This Row],[Año]]</f>
        <v>Q88102018</v>
      </c>
      <c r="C1245" s="845" t="s">
        <v>3440</v>
      </c>
      <c r="D1245" s="845" t="s">
        <v>3464</v>
      </c>
      <c r="E1245" s="843">
        <v>2018</v>
      </c>
      <c r="F1245" s="844" t="s">
        <v>3465</v>
      </c>
      <c r="G1245" s="842" t="s">
        <v>3466</v>
      </c>
      <c r="H1245" s="843" t="s">
        <v>3467</v>
      </c>
      <c r="I1245" s="842" t="s">
        <v>3466</v>
      </c>
      <c r="J1245" s="840">
        <v>-123197</v>
      </c>
      <c r="K1245" s="840">
        <v>164460</v>
      </c>
      <c r="L1245" s="841">
        <v>53648712</v>
      </c>
      <c r="M1245" s="840">
        <v>7570061</v>
      </c>
      <c r="N1245" s="839">
        <f>Indicadores[[#This Row],[Ventas]]/Indicadores[[#This Row],[Activos totales]]</f>
        <v>0.14110424496304777</v>
      </c>
      <c r="O1245" s="837">
        <f>IF(Indicadores[[#This Row],[Ventas]]=0,0,Indicadores[[#This Row],[EBITDA]]/Indicadores[[#This Row],[Ventas]])</f>
        <v>2.1725056112493677E-2</v>
      </c>
      <c r="P1245" s="837">
        <f>IF(Indicadores[[#This Row],[Ventas]]=0,0,Indicadores[[#This Row],[UAI]]/Indicadores[[#This Row],[Ventas]])</f>
        <v>-1.6274241383259658E-2</v>
      </c>
      <c r="Q1245" s="837">
        <f>IFERROR(Indicadores[[#This Row],[Ventas]]/Indicadores[[#This Row],[Activos totales]],0)</f>
        <v>0.14110424496304777</v>
      </c>
    </row>
    <row r="1246" spans="1:17" hidden="1" x14ac:dyDescent="0.3">
      <c r="A1246" s="13" t="str">
        <f>MID(Indicadores[[#This Row],[CIIU]],2,4)</f>
        <v>8890</v>
      </c>
      <c r="B1246" s="13" t="str">
        <f>Indicadores[[#This Row],[CIIU]]&amp;Indicadores[[#This Row],[Año]]</f>
        <v>Q88902018</v>
      </c>
      <c r="C1246" s="845" t="s">
        <v>3440</v>
      </c>
      <c r="D1246" s="845" t="s">
        <v>3464</v>
      </c>
      <c r="E1246" s="843">
        <v>2018</v>
      </c>
      <c r="F1246" s="844" t="s">
        <v>3468</v>
      </c>
      <c r="G1246" s="842" t="s">
        <v>3469</v>
      </c>
      <c r="H1246" s="843" t="s">
        <v>3470</v>
      </c>
      <c r="I1246" s="842" t="s">
        <v>3469</v>
      </c>
      <c r="J1246" s="840">
        <v>-52328</v>
      </c>
      <c r="K1246" s="840">
        <v>-11495</v>
      </c>
      <c r="L1246" s="841">
        <v>18121761</v>
      </c>
      <c r="M1246" s="840">
        <v>180000</v>
      </c>
      <c r="N1246" s="839">
        <f>Indicadores[[#This Row],[Ventas]]/Indicadores[[#This Row],[Activos totales]]</f>
        <v>9.932809510069137E-3</v>
      </c>
      <c r="O1246" s="837">
        <f>IF(Indicadores[[#This Row],[Ventas]]=0,0,Indicadores[[#This Row],[EBITDA]]/Indicadores[[#This Row],[Ventas]])</f>
        <v>-6.3861111111111105E-2</v>
      </c>
      <c r="P1246" s="837">
        <f>IF(Indicadores[[#This Row],[Ventas]]=0,0,Indicadores[[#This Row],[UAI]]/Indicadores[[#This Row],[Ventas]])</f>
        <v>-0.29071111111111109</v>
      </c>
      <c r="Q1246" s="837">
        <f>IFERROR(Indicadores[[#This Row],[Ventas]]/Indicadores[[#This Row],[Activos totales]],0)</f>
        <v>9.932809510069137E-3</v>
      </c>
    </row>
    <row r="1247" spans="1:17" hidden="1" x14ac:dyDescent="0.3">
      <c r="A1247" s="13" t="str">
        <f>MID(Indicadores[[#This Row],[CIIU]],2,4)</f>
        <v>9006</v>
      </c>
      <c r="B1247" s="13" t="str">
        <f>Indicadores[[#This Row],[CIIU]]&amp;Indicadores[[#This Row],[Año]]</f>
        <v>R90062018</v>
      </c>
      <c r="C1247" s="845" t="s">
        <v>3471</v>
      </c>
      <c r="D1247" s="845" t="s">
        <v>3472</v>
      </c>
      <c r="E1247" s="843">
        <v>2018</v>
      </c>
      <c r="F1247" s="844" t="s">
        <v>3473</v>
      </c>
      <c r="G1247" s="842" t="s">
        <v>3474</v>
      </c>
      <c r="H1247" s="843" t="s">
        <v>3475</v>
      </c>
      <c r="I1247" s="842" t="s">
        <v>3474</v>
      </c>
      <c r="J1247" s="840">
        <v>40635</v>
      </c>
      <c r="K1247" s="840">
        <v>140888</v>
      </c>
      <c r="L1247" s="841">
        <v>12247933</v>
      </c>
      <c r="M1247" s="840">
        <v>13976040</v>
      </c>
      <c r="N1247" s="839">
        <f>Indicadores[[#This Row],[Ventas]]/Indicadores[[#This Row],[Activos totales]]</f>
        <v>1.1410937665971883</v>
      </c>
      <c r="O1247" s="837">
        <f>IF(Indicadores[[#This Row],[Ventas]]=0,0,Indicadores[[#This Row],[EBITDA]]/Indicadores[[#This Row],[Ventas]])</f>
        <v>1.0080680936803272E-2</v>
      </c>
      <c r="P1247" s="837">
        <f>IF(Indicadores[[#This Row],[Ventas]]=0,0,Indicadores[[#This Row],[UAI]]/Indicadores[[#This Row],[Ventas]])</f>
        <v>2.9074759373899904E-3</v>
      </c>
      <c r="Q1247" s="837">
        <f>IFERROR(Indicadores[[#This Row],[Ventas]]/Indicadores[[#This Row],[Activos totales]],0)</f>
        <v>1.1410937665971883</v>
      </c>
    </row>
    <row r="1248" spans="1:17" hidden="1" x14ac:dyDescent="0.3">
      <c r="A1248" s="13" t="str">
        <f>MID(Indicadores[[#This Row],[CIIU]],2,4)</f>
        <v>9007</v>
      </c>
      <c r="B1248" s="13" t="str">
        <f>Indicadores[[#This Row],[CIIU]]&amp;Indicadores[[#This Row],[Año]]</f>
        <v>R90072018</v>
      </c>
      <c r="C1248" s="845" t="s">
        <v>3471</v>
      </c>
      <c r="D1248" s="845" t="s">
        <v>3472</v>
      </c>
      <c r="E1248" s="843">
        <v>2018</v>
      </c>
      <c r="F1248" s="844" t="s">
        <v>3476</v>
      </c>
      <c r="G1248" s="842" t="s">
        <v>3477</v>
      </c>
      <c r="H1248" s="843" t="s">
        <v>3478</v>
      </c>
      <c r="I1248" s="842" t="s">
        <v>3477</v>
      </c>
      <c r="J1248" s="840">
        <v>7255098</v>
      </c>
      <c r="K1248" s="840">
        <v>9434531</v>
      </c>
      <c r="L1248" s="841">
        <v>115322138</v>
      </c>
      <c r="M1248" s="840">
        <v>129408603</v>
      </c>
      <c r="N1248" s="839">
        <f>Indicadores[[#This Row],[Ventas]]/Indicadores[[#This Row],[Activos totales]]</f>
        <v>1.1221488366786956</v>
      </c>
      <c r="O1248" s="837">
        <f>IF(Indicadores[[#This Row],[Ventas]]=0,0,Indicadores[[#This Row],[EBITDA]]/Indicadores[[#This Row],[Ventas]])</f>
        <v>7.2904975258870547E-2</v>
      </c>
      <c r="P1248" s="837">
        <f>IF(Indicadores[[#This Row],[Ventas]]=0,0,Indicadores[[#This Row],[UAI]]/Indicadores[[#This Row],[Ventas]])</f>
        <v>5.606349061661689E-2</v>
      </c>
      <c r="Q1248" s="837">
        <f>IFERROR(Indicadores[[#This Row],[Ventas]]/Indicadores[[#This Row],[Activos totales]],0)</f>
        <v>1.1221488366786956</v>
      </c>
    </row>
    <row r="1249" spans="1:17" hidden="1" x14ac:dyDescent="0.3">
      <c r="A1249" s="13" t="str">
        <f>MID(Indicadores[[#This Row],[CIIU]],2,4)</f>
        <v>9008</v>
      </c>
      <c r="B1249" s="13" t="str">
        <f>Indicadores[[#This Row],[CIIU]]&amp;Indicadores[[#This Row],[Año]]</f>
        <v>R90082018</v>
      </c>
      <c r="C1249" s="845" t="s">
        <v>3471</v>
      </c>
      <c r="D1249" s="845" t="s">
        <v>3472</v>
      </c>
      <c r="E1249" s="843">
        <v>2018</v>
      </c>
      <c r="F1249" s="844" t="s">
        <v>3582</v>
      </c>
      <c r="G1249" s="842" t="s">
        <v>3583</v>
      </c>
      <c r="H1249" s="843" t="s">
        <v>3584</v>
      </c>
      <c r="I1249" s="842" t="s">
        <v>3583</v>
      </c>
      <c r="J1249" s="840">
        <v>1840391</v>
      </c>
      <c r="K1249" s="840">
        <v>3254947</v>
      </c>
      <c r="L1249" s="841">
        <v>19283561</v>
      </c>
      <c r="M1249" s="840">
        <v>18473721</v>
      </c>
      <c r="N1249" s="839">
        <f>Indicadores[[#This Row],[Ventas]]/Indicadores[[#This Row],[Activos totales]]</f>
        <v>0.95800360732128265</v>
      </c>
      <c r="O1249" s="837">
        <f>IF(Indicadores[[#This Row],[Ventas]]=0,0,Indicadores[[#This Row],[EBITDA]]/Indicadores[[#This Row],[Ventas]])</f>
        <v>0.17619336136991567</v>
      </c>
      <c r="P1249" s="837">
        <f>IF(Indicadores[[#This Row],[Ventas]]=0,0,Indicadores[[#This Row],[UAI]]/Indicadores[[#This Row],[Ventas]])</f>
        <v>9.9622106450562936E-2</v>
      </c>
      <c r="Q1249" s="837">
        <f>IFERROR(Indicadores[[#This Row],[Ventas]]/Indicadores[[#This Row],[Activos totales]],0)</f>
        <v>0.95800360732128265</v>
      </c>
    </row>
    <row r="1250" spans="1:17" hidden="1" x14ac:dyDescent="0.3">
      <c r="A1250" s="13" t="str">
        <f>MID(Indicadores[[#This Row],[CIIU]],2,4)</f>
        <v>9103</v>
      </c>
      <c r="B1250" s="13" t="str">
        <f>Indicadores[[#This Row],[CIIU]]&amp;Indicadores[[#This Row],[Año]]</f>
        <v>R91032018</v>
      </c>
      <c r="C1250" s="845" t="s">
        <v>3471</v>
      </c>
      <c r="D1250" s="845" t="s">
        <v>3479</v>
      </c>
      <c r="E1250" s="843">
        <v>2018</v>
      </c>
      <c r="F1250" s="844" t="s">
        <v>3480</v>
      </c>
      <c r="G1250" s="842" t="s">
        <v>3481</v>
      </c>
      <c r="H1250" s="843" t="s">
        <v>3482</v>
      </c>
      <c r="I1250" s="842" t="s">
        <v>3481</v>
      </c>
      <c r="J1250" s="840">
        <v>611566</v>
      </c>
      <c r="K1250" s="840">
        <v>611566</v>
      </c>
      <c r="L1250" s="841">
        <v>46383106</v>
      </c>
      <c r="M1250" s="840">
        <v>18927608</v>
      </c>
      <c r="N1250" s="839">
        <f>Indicadores[[#This Row],[Ventas]]/Indicadores[[#This Row],[Activos totales]]</f>
        <v>0.40807116280656153</v>
      </c>
      <c r="O1250" s="837">
        <f>IF(Indicadores[[#This Row],[Ventas]]=0,0,Indicadores[[#This Row],[EBITDA]]/Indicadores[[#This Row],[Ventas]])</f>
        <v>3.2310791728146528E-2</v>
      </c>
      <c r="P1250" s="837">
        <f>IF(Indicadores[[#This Row],[Ventas]]=0,0,Indicadores[[#This Row],[UAI]]/Indicadores[[#This Row],[Ventas]])</f>
        <v>3.2310791728146528E-2</v>
      </c>
      <c r="Q1250" s="837">
        <f>IFERROR(Indicadores[[#This Row],[Ventas]]/Indicadores[[#This Row],[Activos totales]],0)</f>
        <v>0.40807116280656153</v>
      </c>
    </row>
    <row r="1251" spans="1:17" hidden="1" x14ac:dyDescent="0.3">
      <c r="A1251" s="13" t="str">
        <f>MID(Indicadores[[#This Row],[CIIU]],2,4)</f>
        <v>9200</v>
      </c>
      <c r="B1251" s="13" t="str">
        <f>Indicadores[[#This Row],[CIIU]]&amp;Indicadores[[#This Row],[Año]]</f>
        <v>R92002018</v>
      </c>
      <c r="C1251" s="845" t="s">
        <v>3471</v>
      </c>
      <c r="D1251" s="845" t="s">
        <v>3483</v>
      </c>
      <c r="E1251" s="843">
        <v>2018</v>
      </c>
      <c r="F1251" s="844" t="s">
        <v>3484</v>
      </c>
      <c r="G1251" s="842" t="s">
        <v>3485</v>
      </c>
      <c r="H1251" s="843" t="s">
        <v>3486</v>
      </c>
      <c r="I1251" s="842" t="s">
        <v>3485</v>
      </c>
      <c r="J1251" s="840">
        <v>-29532967</v>
      </c>
      <c r="K1251" s="840">
        <v>-10182738</v>
      </c>
      <c r="L1251" s="841">
        <v>492955863</v>
      </c>
      <c r="M1251" s="840">
        <v>417171661</v>
      </c>
      <c r="N1251" s="839">
        <f>Indicadores[[#This Row],[Ventas]]/Indicadores[[#This Row],[Activos totales]]</f>
        <v>0.84626574570226787</v>
      </c>
      <c r="O1251" s="837">
        <f>IF(Indicadores[[#This Row],[Ventas]]=0,0,Indicadores[[#This Row],[EBITDA]]/Indicadores[[#This Row],[Ventas]])</f>
        <v>-2.440898783870173E-2</v>
      </c>
      <c r="P1251" s="837">
        <f>IF(Indicadores[[#This Row],[Ventas]]=0,0,Indicadores[[#This Row],[UAI]]/Indicadores[[#This Row],[Ventas]])</f>
        <v>-7.0793320258635689E-2</v>
      </c>
      <c r="Q1251" s="837">
        <f>IFERROR(Indicadores[[#This Row],[Ventas]]/Indicadores[[#This Row],[Activos totales]],0)</f>
        <v>0.84626574570226787</v>
      </c>
    </row>
    <row r="1252" spans="1:17" hidden="1" x14ac:dyDescent="0.3">
      <c r="A1252" s="13" t="str">
        <f>MID(Indicadores[[#This Row],[CIIU]],2,4)</f>
        <v>9311</v>
      </c>
      <c r="B1252" s="13" t="str">
        <f>Indicadores[[#This Row],[CIIU]]&amp;Indicadores[[#This Row],[Año]]</f>
        <v>R93112018</v>
      </c>
      <c r="C1252" s="845" t="s">
        <v>3471</v>
      </c>
      <c r="D1252" s="845" t="s">
        <v>3487</v>
      </c>
      <c r="E1252" s="843">
        <v>2018</v>
      </c>
      <c r="F1252" s="844" t="s">
        <v>3488</v>
      </c>
      <c r="G1252" s="842" t="s">
        <v>3489</v>
      </c>
      <c r="H1252" s="843" t="s">
        <v>3490</v>
      </c>
      <c r="I1252" s="842" t="s">
        <v>3489</v>
      </c>
      <c r="J1252" s="840">
        <v>21626714</v>
      </c>
      <c r="K1252" s="840">
        <v>44514056</v>
      </c>
      <c r="L1252" s="841">
        <v>224063307</v>
      </c>
      <c r="M1252" s="840">
        <v>107531237</v>
      </c>
      <c r="N1252" s="839">
        <f>Indicadores[[#This Row],[Ventas]]/Indicadores[[#This Row],[Activos totales]]</f>
        <v>0.47991453147658847</v>
      </c>
      <c r="O1252" s="837">
        <f>IF(Indicadores[[#This Row],[Ventas]]=0,0,Indicadores[[#This Row],[EBITDA]]/Indicadores[[#This Row],[Ventas]])</f>
        <v>0.41396395356262849</v>
      </c>
      <c r="P1252" s="837">
        <f>IF(Indicadores[[#This Row],[Ventas]]=0,0,Indicadores[[#This Row],[UAI]]/Indicadores[[#This Row],[Ventas]])</f>
        <v>0.20112029400349965</v>
      </c>
      <c r="Q1252" s="837">
        <f>IFERROR(Indicadores[[#This Row],[Ventas]]/Indicadores[[#This Row],[Activos totales]],0)</f>
        <v>0.47991453147658847</v>
      </c>
    </row>
    <row r="1253" spans="1:17" hidden="1" x14ac:dyDescent="0.3">
      <c r="A1253" s="13" t="str">
        <f>MID(Indicadores[[#This Row],[CIIU]],2,4)</f>
        <v>9312</v>
      </c>
      <c r="B1253" s="13" t="str">
        <f>Indicadores[[#This Row],[CIIU]]&amp;Indicadores[[#This Row],[Año]]</f>
        <v>R93122018</v>
      </c>
      <c r="C1253" s="845" t="s">
        <v>3471</v>
      </c>
      <c r="D1253" s="845" t="s">
        <v>3487</v>
      </c>
      <c r="E1253" s="843">
        <v>2018</v>
      </c>
      <c r="F1253" s="844" t="s">
        <v>3491</v>
      </c>
      <c r="G1253" s="842" t="s">
        <v>3492</v>
      </c>
      <c r="H1253" s="843" t="s">
        <v>3493</v>
      </c>
      <c r="I1253" s="842" t="s">
        <v>3492</v>
      </c>
      <c r="J1253" s="840">
        <v>-49434923</v>
      </c>
      <c r="K1253" s="840">
        <v>12219519</v>
      </c>
      <c r="L1253" s="841">
        <v>614507103</v>
      </c>
      <c r="M1253" s="840">
        <v>495329184</v>
      </c>
      <c r="N1253" s="839">
        <f>Indicadores[[#This Row],[Ventas]]/Indicadores[[#This Row],[Activos totales]]</f>
        <v>0.80605933044845535</v>
      </c>
      <c r="O1253" s="837">
        <f>IF(Indicadores[[#This Row],[Ventas]]=0,0,Indicadores[[#This Row],[EBITDA]]/Indicadores[[#This Row],[Ventas]])</f>
        <v>2.4669491309439986E-2</v>
      </c>
      <c r="P1253" s="837">
        <f>IF(Indicadores[[#This Row],[Ventas]]=0,0,Indicadores[[#This Row],[UAI]]/Indicadores[[#This Row],[Ventas]])</f>
        <v>-9.9802161061440714E-2</v>
      </c>
      <c r="Q1253" s="837">
        <f>IFERROR(Indicadores[[#This Row],[Ventas]]/Indicadores[[#This Row],[Activos totales]],0)</f>
        <v>0.80605933044845535</v>
      </c>
    </row>
    <row r="1254" spans="1:17" hidden="1" x14ac:dyDescent="0.3">
      <c r="A1254" s="13" t="str">
        <f>MID(Indicadores[[#This Row],[CIIU]],2,4)</f>
        <v>9319</v>
      </c>
      <c r="B1254" s="13" t="str">
        <f>Indicadores[[#This Row],[CIIU]]&amp;Indicadores[[#This Row],[Año]]</f>
        <v>R93192018</v>
      </c>
      <c r="C1254" s="845" t="s">
        <v>3471</v>
      </c>
      <c r="D1254" s="845" t="s">
        <v>3487</v>
      </c>
      <c r="E1254" s="843">
        <v>2018</v>
      </c>
      <c r="F1254" s="844" t="s">
        <v>3494</v>
      </c>
      <c r="G1254" s="842" t="s">
        <v>3495</v>
      </c>
      <c r="H1254" s="843" t="s">
        <v>3496</v>
      </c>
      <c r="I1254" s="842" t="s">
        <v>3495</v>
      </c>
      <c r="J1254" s="840">
        <v>-16757455</v>
      </c>
      <c r="K1254" s="840">
        <v>-16588057</v>
      </c>
      <c r="L1254" s="841">
        <v>3421220</v>
      </c>
      <c r="M1254" s="840">
        <v>6420964</v>
      </c>
      <c r="N1254" s="839">
        <f>Indicadores[[#This Row],[Ventas]]/Indicadores[[#This Row],[Activos totales]]</f>
        <v>1.8768053501382547</v>
      </c>
      <c r="O1254" s="837">
        <f>IF(Indicadores[[#This Row],[Ventas]]=0,0,Indicadores[[#This Row],[EBITDA]]/Indicadores[[#This Row],[Ventas]])</f>
        <v>-2.5834215859176286</v>
      </c>
      <c r="P1254" s="837">
        <f>IF(Indicadores[[#This Row],[Ventas]]=0,0,Indicadores[[#This Row],[UAI]]/Indicadores[[#This Row],[Ventas]])</f>
        <v>-2.6098036058137066</v>
      </c>
      <c r="Q1254" s="837">
        <f>IFERROR(Indicadores[[#This Row],[Ventas]]/Indicadores[[#This Row],[Activos totales]],0)</f>
        <v>1.8768053501382547</v>
      </c>
    </row>
    <row r="1255" spans="1:17" hidden="1" x14ac:dyDescent="0.3">
      <c r="A1255" s="13" t="str">
        <f>MID(Indicadores[[#This Row],[CIIU]],2,4)</f>
        <v>9321</v>
      </c>
      <c r="B1255" s="13" t="str">
        <f>Indicadores[[#This Row],[CIIU]]&amp;Indicadores[[#This Row],[Año]]</f>
        <v>R93212018</v>
      </c>
      <c r="C1255" s="845" t="s">
        <v>3471</v>
      </c>
      <c r="D1255" s="845" t="s">
        <v>3487</v>
      </c>
      <c r="E1255" s="843">
        <v>2018</v>
      </c>
      <c r="F1255" s="844" t="s">
        <v>3497</v>
      </c>
      <c r="G1255" s="842" t="s">
        <v>3498</v>
      </c>
      <c r="H1255" s="843" t="s">
        <v>3499</v>
      </c>
      <c r="I1255" s="842" t="s">
        <v>3498</v>
      </c>
      <c r="J1255" s="840">
        <v>3294081</v>
      </c>
      <c r="K1255" s="840">
        <v>8352934</v>
      </c>
      <c r="L1255" s="841">
        <v>83793423</v>
      </c>
      <c r="M1255" s="840">
        <v>65279234</v>
      </c>
      <c r="N1255" s="839">
        <f>Indicadores[[#This Row],[Ventas]]/Indicadores[[#This Row],[Activos totales]]</f>
        <v>0.77904961586304933</v>
      </c>
      <c r="O1255" s="837">
        <f>IF(Indicadores[[#This Row],[Ventas]]=0,0,Indicadores[[#This Row],[EBITDA]]/Indicadores[[#This Row],[Ventas]])</f>
        <v>0.12795698552467696</v>
      </c>
      <c r="P1255" s="837">
        <f>IF(Indicadores[[#This Row],[Ventas]]=0,0,Indicadores[[#This Row],[UAI]]/Indicadores[[#This Row],[Ventas]])</f>
        <v>5.0461391749786769E-2</v>
      </c>
      <c r="Q1255" s="837">
        <f>IFERROR(Indicadores[[#This Row],[Ventas]]/Indicadores[[#This Row],[Activos totales]],0)</f>
        <v>0.77904961586304933</v>
      </c>
    </row>
    <row r="1256" spans="1:17" hidden="1" x14ac:dyDescent="0.3">
      <c r="A1256" s="13" t="str">
        <f>MID(Indicadores[[#This Row],[CIIU]],2,4)</f>
        <v>9329</v>
      </c>
      <c r="B1256" s="13" t="str">
        <f>Indicadores[[#This Row],[CIIU]]&amp;Indicadores[[#This Row],[Año]]</f>
        <v>R93292018</v>
      </c>
      <c r="C1256" s="845" t="s">
        <v>3471</v>
      </c>
      <c r="D1256" s="845" t="s">
        <v>3487</v>
      </c>
      <c r="E1256" s="843">
        <v>2018</v>
      </c>
      <c r="F1256" s="844" t="s">
        <v>3500</v>
      </c>
      <c r="G1256" s="842" t="s">
        <v>3501</v>
      </c>
      <c r="H1256" s="843" t="s">
        <v>3502</v>
      </c>
      <c r="I1256" s="842" t="s">
        <v>3501</v>
      </c>
      <c r="J1256" s="840">
        <v>27050508</v>
      </c>
      <c r="K1256" s="840">
        <v>41317969</v>
      </c>
      <c r="L1256" s="841">
        <v>527677060</v>
      </c>
      <c r="M1256" s="840">
        <v>239762295</v>
      </c>
      <c r="N1256" s="839">
        <f>Indicadores[[#This Row],[Ventas]]/Indicadores[[#This Row],[Activos totales]]</f>
        <v>0.45437316338898642</v>
      </c>
      <c r="O1256" s="837">
        <f>IF(Indicadores[[#This Row],[Ventas]]=0,0,Indicadores[[#This Row],[EBITDA]]/Indicadores[[#This Row],[Ventas]])</f>
        <v>0.17232888515685921</v>
      </c>
      <c r="P1256" s="837">
        <f>IF(Indicadores[[#This Row],[Ventas]]=0,0,Indicadores[[#This Row],[UAI]]/Indicadores[[#This Row],[Ventas]])</f>
        <v>0.11282219333110738</v>
      </c>
      <c r="Q1256" s="837">
        <f>IFERROR(Indicadores[[#This Row],[Ventas]]/Indicadores[[#This Row],[Activos totales]],0)</f>
        <v>0.45437316338898642</v>
      </c>
    </row>
    <row r="1257" spans="1:17" hidden="1" x14ac:dyDescent="0.3">
      <c r="A1257" s="13" t="str">
        <f>MID(Indicadores[[#This Row],[CIIU]],2,4)</f>
        <v>9499</v>
      </c>
      <c r="B1257" s="13" t="str">
        <f>Indicadores[[#This Row],[CIIU]]&amp;Indicadores[[#This Row],[Año]]</f>
        <v>S94992018</v>
      </c>
      <c r="C1257" s="845" t="s">
        <v>3503</v>
      </c>
      <c r="D1257" s="845" t="s">
        <v>3504</v>
      </c>
      <c r="E1257" s="843">
        <v>2018</v>
      </c>
      <c r="F1257" s="844" t="s">
        <v>3508</v>
      </c>
      <c r="G1257" s="842" t="s">
        <v>3509</v>
      </c>
      <c r="H1257" s="843" t="s">
        <v>3510</v>
      </c>
      <c r="I1257" s="842" t="s">
        <v>3509</v>
      </c>
      <c r="J1257" s="840">
        <v>3960039</v>
      </c>
      <c r="K1257" s="840">
        <v>4338523</v>
      </c>
      <c r="L1257" s="841">
        <v>49746191</v>
      </c>
      <c r="M1257" s="840">
        <v>4925882</v>
      </c>
      <c r="N1257" s="839">
        <f>Indicadores[[#This Row],[Ventas]]/Indicadores[[#This Row],[Activos totales]]</f>
        <v>9.902028478924145E-2</v>
      </c>
      <c r="O1257" s="837">
        <f>IF(Indicadores[[#This Row],[Ventas]]=0,0,Indicadores[[#This Row],[EBITDA]]/Indicadores[[#This Row],[Ventas]])</f>
        <v>0.88076064347461025</v>
      </c>
      <c r="P1257" s="837">
        <f>IF(Indicadores[[#This Row],[Ventas]]=0,0,Indicadores[[#This Row],[UAI]]/Indicadores[[#This Row],[Ventas]])</f>
        <v>0.80392486056304235</v>
      </c>
      <c r="Q1257" s="837">
        <f>IFERROR(Indicadores[[#This Row],[Ventas]]/Indicadores[[#This Row],[Activos totales]],0)</f>
        <v>9.902028478924145E-2</v>
      </c>
    </row>
    <row r="1258" spans="1:17" hidden="1" x14ac:dyDescent="0.3">
      <c r="A1258" s="13" t="str">
        <f>MID(Indicadores[[#This Row],[CIIU]],2,4)</f>
        <v>9511</v>
      </c>
      <c r="B1258" s="13" t="str">
        <f>Indicadores[[#This Row],[CIIU]]&amp;Indicadores[[#This Row],[Año]]</f>
        <v>S95112018</v>
      </c>
      <c r="C1258" s="845" t="s">
        <v>3503</v>
      </c>
      <c r="D1258" s="845" t="s">
        <v>3511</v>
      </c>
      <c r="E1258" s="843">
        <v>2018</v>
      </c>
      <c r="F1258" s="844" t="s">
        <v>3512</v>
      </c>
      <c r="G1258" s="842" t="s">
        <v>3513</v>
      </c>
      <c r="H1258" s="843" t="s">
        <v>3514</v>
      </c>
      <c r="I1258" s="842" t="s">
        <v>3513</v>
      </c>
      <c r="J1258" s="840">
        <v>19762130</v>
      </c>
      <c r="K1258" s="840">
        <v>25617554</v>
      </c>
      <c r="L1258" s="841">
        <v>255949513</v>
      </c>
      <c r="M1258" s="840">
        <v>338359252</v>
      </c>
      <c r="N1258" s="839">
        <f>Indicadores[[#This Row],[Ventas]]/Indicadores[[#This Row],[Activos totales]]</f>
        <v>1.3219765415220774</v>
      </c>
      <c r="O1258" s="837">
        <f>IF(Indicadores[[#This Row],[Ventas]]=0,0,Indicadores[[#This Row],[EBITDA]]/Indicadores[[#This Row],[Ventas]])</f>
        <v>7.5711108381336656E-2</v>
      </c>
      <c r="P1258" s="837">
        <f>IF(Indicadores[[#This Row],[Ventas]]=0,0,Indicadores[[#This Row],[UAI]]/Indicadores[[#This Row],[Ventas]])</f>
        <v>5.8405762169021463E-2</v>
      </c>
      <c r="Q1258" s="837">
        <f>IFERROR(Indicadores[[#This Row],[Ventas]]/Indicadores[[#This Row],[Activos totales]],0)</f>
        <v>1.3219765415220774</v>
      </c>
    </row>
    <row r="1259" spans="1:17" hidden="1" x14ac:dyDescent="0.3">
      <c r="A1259" s="13" t="str">
        <f>MID(Indicadores[[#This Row],[CIIU]],2,4)</f>
        <v>9512</v>
      </c>
      <c r="B1259" s="13" t="str">
        <f>Indicadores[[#This Row],[CIIU]]&amp;Indicadores[[#This Row],[Año]]</f>
        <v>S95122018</v>
      </c>
      <c r="C1259" s="845" t="s">
        <v>3503</v>
      </c>
      <c r="D1259" s="845" t="s">
        <v>3511</v>
      </c>
      <c r="E1259" s="843">
        <v>2018</v>
      </c>
      <c r="F1259" s="844" t="s">
        <v>3515</v>
      </c>
      <c r="G1259" s="842" t="s">
        <v>3516</v>
      </c>
      <c r="H1259" s="843" t="s">
        <v>3517</v>
      </c>
      <c r="I1259" s="842" t="s">
        <v>3516</v>
      </c>
      <c r="J1259" s="840">
        <v>9896809</v>
      </c>
      <c r="K1259" s="840">
        <v>10435181</v>
      </c>
      <c r="L1259" s="841">
        <v>113908226</v>
      </c>
      <c r="M1259" s="840">
        <v>115887105</v>
      </c>
      <c r="N1259" s="839">
        <f>Indicadores[[#This Row],[Ventas]]/Indicadores[[#This Row],[Activos totales]]</f>
        <v>1.0173725732503287</v>
      </c>
      <c r="O1259" s="837">
        <f>IF(Indicadores[[#This Row],[Ventas]]=0,0,Indicadores[[#This Row],[EBITDA]]/Indicadores[[#This Row],[Ventas]])</f>
        <v>9.0046092703756811E-2</v>
      </c>
      <c r="P1259" s="837">
        <f>IF(Indicadores[[#This Row],[Ventas]]=0,0,Indicadores[[#This Row],[UAI]]/Indicadores[[#This Row],[Ventas]])</f>
        <v>8.5400433464965758E-2</v>
      </c>
      <c r="Q1259" s="837">
        <f>IFERROR(Indicadores[[#This Row],[Ventas]]/Indicadores[[#This Row],[Activos totales]],0)</f>
        <v>1.0173725732503287</v>
      </c>
    </row>
    <row r="1260" spans="1:17" hidden="1" x14ac:dyDescent="0.3">
      <c r="A1260" s="13" t="str">
        <f>MID(Indicadores[[#This Row],[CIIU]],2,4)</f>
        <v>9601</v>
      </c>
      <c r="B1260" s="13" t="str">
        <f>Indicadores[[#This Row],[CIIU]]&amp;Indicadores[[#This Row],[Año]]</f>
        <v>S96012018</v>
      </c>
      <c r="C1260" s="845" t="s">
        <v>3503</v>
      </c>
      <c r="D1260" s="845" t="s">
        <v>3524</v>
      </c>
      <c r="E1260" s="843">
        <v>2018</v>
      </c>
      <c r="F1260" s="844" t="s">
        <v>3525</v>
      </c>
      <c r="G1260" s="842" t="s">
        <v>3526</v>
      </c>
      <c r="H1260" s="843" t="s">
        <v>3527</v>
      </c>
      <c r="I1260" s="842" t="s">
        <v>3526</v>
      </c>
      <c r="J1260" s="840">
        <v>4441539</v>
      </c>
      <c r="K1260" s="840">
        <v>8244254</v>
      </c>
      <c r="L1260" s="841">
        <v>98538280</v>
      </c>
      <c r="M1260" s="840">
        <v>60542179</v>
      </c>
      <c r="N1260" s="839">
        <f>Indicadores[[#This Row],[Ventas]]/Indicadores[[#This Row],[Activos totales]]</f>
        <v>0.61440263621406832</v>
      </c>
      <c r="O1260" s="837">
        <f>IF(Indicadores[[#This Row],[Ventas]]=0,0,Indicadores[[#This Row],[EBITDA]]/Indicadores[[#This Row],[Ventas]])</f>
        <v>0.13617372443763545</v>
      </c>
      <c r="P1260" s="837">
        <f>IF(Indicadores[[#This Row],[Ventas]]=0,0,Indicadores[[#This Row],[UAI]]/Indicadores[[#This Row],[Ventas]])</f>
        <v>7.3362721219531926E-2</v>
      </c>
      <c r="Q1260" s="837">
        <f>IFERROR(Indicadores[[#This Row],[Ventas]]/Indicadores[[#This Row],[Activos totales]],0)</f>
        <v>0.61440263621406832</v>
      </c>
    </row>
    <row r="1261" spans="1:17" hidden="1" x14ac:dyDescent="0.3">
      <c r="A1261" s="13" t="str">
        <f>MID(Indicadores[[#This Row],[CIIU]],2,4)</f>
        <v>9602</v>
      </c>
      <c r="B1261" s="13" t="str">
        <f>Indicadores[[#This Row],[CIIU]]&amp;Indicadores[[#This Row],[Año]]</f>
        <v>S96022018</v>
      </c>
      <c r="C1261" s="845" t="s">
        <v>3503</v>
      </c>
      <c r="D1261" s="845" t="s">
        <v>3524</v>
      </c>
      <c r="E1261" s="843">
        <v>2018</v>
      </c>
      <c r="F1261" s="844" t="s">
        <v>3585</v>
      </c>
      <c r="G1261" s="842" t="s">
        <v>3586</v>
      </c>
      <c r="H1261" s="843" t="s">
        <v>3587</v>
      </c>
      <c r="I1261" s="842" t="s">
        <v>3586</v>
      </c>
      <c r="J1261" s="840">
        <v>0</v>
      </c>
      <c r="K1261" s="840">
        <v>0</v>
      </c>
      <c r="L1261" s="841">
        <v>124507</v>
      </c>
      <c r="M1261" s="840">
        <v>0</v>
      </c>
      <c r="N1261" s="839">
        <f>Indicadores[[#This Row],[Ventas]]/Indicadores[[#This Row],[Activos totales]]</f>
        <v>0</v>
      </c>
      <c r="O1261" s="837">
        <f>IF(Indicadores[[#This Row],[Ventas]]=0,0,Indicadores[[#This Row],[EBITDA]]/Indicadores[[#This Row],[Ventas]])</f>
        <v>0</v>
      </c>
      <c r="P1261" s="837">
        <f>IF(Indicadores[[#This Row],[Ventas]]=0,0,Indicadores[[#This Row],[UAI]]/Indicadores[[#This Row],[Ventas]])</f>
        <v>0</v>
      </c>
      <c r="Q1261" s="837">
        <f>IFERROR(Indicadores[[#This Row],[Ventas]]/Indicadores[[#This Row],[Activos totales]],0)</f>
        <v>0</v>
      </c>
    </row>
    <row r="1262" spans="1:17" hidden="1" x14ac:dyDescent="0.3">
      <c r="A1262" s="13" t="str">
        <f>MID(Indicadores[[#This Row],[CIIU]],2,4)</f>
        <v>9603</v>
      </c>
      <c r="B1262" s="13" t="str">
        <f>Indicadores[[#This Row],[CIIU]]&amp;Indicadores[[#This Row],[Año]]</f>
        <v>S96032018</v>
      </c>
      <c r="C1262" s="845" t="s">
        <v>3503</v>
      </c>
      <c r="D1262" s="845" t="s">
        <v>3524</v>
      </c>
      <c r="E1262" s="843">
        <v>2018</v>
      </c>
      <c r="F1262" s="844" t="s">
        <v>3528</v>
      </c>
      <c r="G1262" s="842" t="s">
        <v>3529</v>
      </c>
      <c r="H1262" s="843" t="s">
        <v>3530</v>
      </c>
      <c r="I1262" s="842" t="s">
        <v>3529</v>
      </c>
      <c r="J1262" s="840">
        <v>56578439</v>
      </c>
      <c r="K1262" s="840">
        <v>77463719</v>
      </c>
      <c r="L1262" s="841">
        <v>1101063035</v>
      </c>
      <c r="M1262" s="840">
        <v>779505280</v>
      </c>
      <c r="N1262" s="839">
        <f>Indicadores[[#This Row],[Ventas]]/Indicadores[[#This Row],[Activos totales]]</f>
        <v>0.70795699721224403</v>
      </c>
      <c r="O1262" s="837">
        <f>IF(Indicadores[[#This Row],[Ventas]]=0,0,Indicadores[[#This Row],[EBITDA]]/Indicadores[[#This Row],[Ventas]])</f>
        <v>9.9375489797836905E-2</v>
      </c>
      <c r="P1262" s="837">
        <f>IF(Indicadores[[#This Row],[Ventas]]=0,0,Indicadores[[#This Row],[UAI]]/Indicadores[[#This Row],[Ventas]])</f>
        <v>7.2582496169878413E-2</v>
      </c>
      <c r="Q1262" s="837">
        <f>IFERROR(Indicadores[[#This Row],[Ventas]]/Indicadores[[#This Row],[Activos totales]],0)</f>
        <v>0.70795699721224403</v>
      </c>
    </row>
    <row r="1263" spans="1:17" hidden="1" x14ac:dyDescent="0.3">
      <c r="A1263" s="13" t="str">
        <f>MID(Indicadores[[#This Row],[CIIU]],2,4)</f>
        <v>9609</v>
      </c>
      <c r="B1263" s="13" t="str">
        <f>Indicadores[[#This Row],[CIIU]]&amp;Indicadores[[#This Row],[Año]]</f>
        <v>S96092018</v>
      </c>
      <c r="C1263" s="845" t="s">
        <v>3503</v>
      </c>
      <c r="D1263" s="845" t="s">
        <v>3524</v>
      </c>
      <c r="E1263" s="843">
        <v>2018</v>
      </c>
      <c r="F1263" s="844" t="s">
        <v>3531</v>
      </c>
      <c r="G1263" s="842" t="s">
        <v>3532</v>
      </c>
      <c r="H1263" s="843" t="s">
        <v>3533</v>
      </c>
      <c r="I1263" s="842" t="s">
        <v>3532</v>
      </c>
      <c r="J1263" s="840">
        <v>24726291</v>
      </c>
      <c r="K1263" s="840">
        <v>28582023</v>
      </c>
      <c r="L1263" s="841">
        <v>437479419</v>
      </c>
      <c r="M1263" s="840">
        <v>258120302</v>
      </c>
      <c r="N1263" s="839">
        <f>Indicadores[[#This Row],[Ventas]]/Indicadores[[#This Row],[Activos totales]]</f>
        <v>0.59001701746339752</v>
      </c>
      <c r="O1263" s="837">
        <f>IF(Indicadores[[#This Row],[Ventas]]=0,0,Indicadores[[#This Row],[EBITDA]]/Indicadores[[#This Row],[Ventas]])</f>
        <v>0.1107314022900841</v>
      </c>
      <c r="P1263" s="837">
        <f>IF(Indicadores[[#This Row],[Ventas]]=0,0,Indicadores[[#This Row],[UAI]]/Indicadores[[#This Row],[Ventas]])</f>
        <v>9.579366988343288E-2</v>
      </c>
      <c r="Q1263" s="837">
        <f>IFERROR(Indicadores[[#This Row],[Ventas]]/Indicadores[[#This Row],[Activos totales]],0)</f>
        <v>0.59001701746339752</v>
      </c>
    </row>
    <row r="1264" spans="1:17" hidden="1" x14ac:dyDescent="0.3">
      <c r="A1264" s="13" t="str">
        <f>MID(Indicadores[[#This Row],[CIIU]],2,4)</f>
        <v>9900</v>
      </c>
      <c r="B1264" s="13" t="str">
        <f>Indicadores[[#This Row],[CIIU]]&amp;Indicadores[[#This Row],[Año]]</f>
        <v>U99002018</v>
      </c>
      <c r="C1264" s="845" t="s">
        <v>3534</v>
      </c>
      <c r="D1264" s="845" t="s">
        <v>3535</v>
      </c>
      <c r="E1264" s="843">
        <v>2018</v>
      </c>
      <c r="F1264" s="844" t="s">
        <v>3536</v>
      </c>
      <c r="G1264" s="842" t="s">
        <v>3537</v>
      </c>
      <c r="H1264" s="843" t="s">
        <v>3538</v>
      </c>
      <c r="I1264" s="842" t="s">
        <v>3537</v>
      </c>
      <c r="J1264" s="840">
        <v>-1178254</v>
      </c>
      <c r="K1264" s="840">
        <v>-1178254</v>
      </c>
      <c r="L1264" s="841">
        <v>12081606</v>
      </c>
      <c r="M1264" s="840">
        <v>2354937</v>
      </c>
      <c r="N1264" s="839">
        <f>Indicadores[[#This Row],[Ventas]]/Indicadores[[#This Row],[Activos totales]]</f>
        <v>0.19491920196702325</v>
      </c>
      <c r="O1264" s="837">
        <f>IF(Indicadores[[#This Row],[Ventas]]=0,0,Indicadores[[#This Row],[EBITDA]]/Indicadores[[#This Row],[Ventas]])</f>
        <v>-0.5003335545706743</v>
      </c>
      <c r="P1264" s="837">
        <f>IF(Indicadores[[#This Row],[Ventas]]=0,0,Indicadores[[#This Row],[UAI]]/Indicadores[[#This Row],[Ventas]])</f>
        <v>-0.5003335545706743</v>
      </c>
      <c r="Q1264" s="837">
        <f>IFERROR(Indicadores[[#This Row],[Ventas]]/Indicadores[[#This Row],[Activos totales]],0)</f>
        <v>0.19491920196702325</v>
      </c>
    </row>
    <row r="1265" spans="1:17" hidden="1" x14ac:dyDescent="0.3">
      <c r="A1265" s="13" t="str">
        <f>MID(Indicadores[[#This Row],[CIIU]],2,4)</f>
        <v>0111</v>
      </c>
      <c r="B1265" s="13" t="str">
        <f>Indicadores[[#This Row],[CIIU]]&amp;Indicadores[[#This Row],[Año]]</f>
        <v>A01112019</v>
      </c>
      <c r="C1265" s="845" t="s">
        <v>2108</v>
      </c>
      <c r="D1265" s="845" t="s">
        <v>2109</v>
      </c>
      <c r="E1265" s="843">
        <v>2019</v>
      </c>
      <c r="F1265" s="844" t="s">
        <v>2110</v>
      </c>
      <c r="G1265" s="842" t="s">
        <v>2111</v>
      </c>
      <c r="H1265" s="843" t="s">
        <v>2112</v>
      </c>
      <c r="I1265" s="842" t="s">
        <v>2113</v>
      </c>
      <c r="J1265" s="840">
        <v>-19267852</v>
      </c>
      <c r="K1265" s="840">
        <v>-13011668</v>
      </c>
      <c r="L1265" s="841">
        <v>396933841</v>
      </c>
      <c r="M1265" s="840">
        <v>87070845</v>
      </c>
      <c r="N1265" s="839">
        <f>Indicadores[[#This Row],[Ventas]]/Indicadores[[#This Row],[Activos totales]]</f>
        <v>0.21935858323553722</v>
      </c>
      <c r="O1265" s="837">
        <f>IF(Indicadores[[#This Row],[Ventas]]=0,0,Indicadores[[#This Row],[EBITDA]]/Indicadores[[#This Row],[Ventas]])</f>
        <v>-0.14943771362274019</v>
      </c>
      <c r="P1265" s="837">
        <f>IF(Indicadores[[#This Row],[Ventas]]=0,0,Indicadores[[#This Row],[UAI]]/Indicadores[[#This Row],[Ventas]])</f>
        <v>-0.22128936499927157</v>
      </c>
      <c r="Q1265" s="837">
        <f>IFERROR(Indicadores[[#This Row],[Ventas]]/Indicadores[[#This Row],[Activos totales]],0)</f>
        <v>0.21935858323553722</v>
      </c>
    </row>
    <row r="1266" spans="1:17" hidden="1" x14ac:dyDescent="0.3">
      <c r="A1266" s="13" t="str">
        <f>MID(Indicadores[[#This Row],[CIIU]],2,4)</f>
        <v>0112</v>
      </c>
      <c r="B1266" s="13" t="str">
        <f>Indicadores[[#This Row],[CIIU]]&amp;Indicadores[[#This Row],[Año]]</f>
        <v>A01122019</v>
      </c>
      <c r="C1266" s="845" t="s">
        <v>2108</v>
      </c>
      <c r="D1266" s="845" t="s">
        <v>2109</v>
      </c>
      <c r="E1266" s="843">
        <v>2019</v>
      </c>
      <c r="F1266" s="844" t="s">
        <v>2114</v>
      </c>
      <c r="G1266" s="842" t="s">
        <v>2115</v>
      </c>
      <c r="H1266" s="843" t="s">
        <v>2116</v>
      </c>
      <c r="I1266" s="842" t="s">
        <v>2117</v>
      </c>
      <c r="J1266" s="840">
        <v>8216495</v>
      </c>
      <c r="K1266" s="840">
        <v>17900297</v>
      </c>
      <c r="L1266" s="841">
        <v>910353792</v>
      </c>
      <c r="M1266" s="840">
        <v>354855533</v>
      </c>
      <c r="N1266" s="839">
        <f>Indicadores[[#This Row],[Ventas]]/Indicadores[[#This Row],[Activos totales]]</f>
        <v>0.38979958793866376</v>
      </c>
      <c r="O1266" s="837">
        <f>IF(Indicadores[[#This Row],[Ventas]]=0,0,Indicadores[[#This Row],[EBITDA]]/Indicadores[[#This Row],[Ventas]])</f>
        <v>5.0443899940542845E-2</v>
      </c>
      <c r="P1266" s="837">
        <f>IF(Indicadores[[#This Row],[Ventas]]=0,0,Indicadores[[#This Row],[UAI]]/Indicadores[[#This Row],[Ventas]])</f>
        <v>2.315447903696629E-2</v>
      </c>
      <c r="Q1266" s="837">
        <f>IFERROR(Indicadores[[#This Row],[Ventas]]/Indicadores[[#This Row],[Activos totales]],0)</f>
        <v>0.38979958793866376</v>
      </c>
    </row>
    <row r="1267" spans="1:17" hidden="1" x14ac:dyDescent="0.3">
      <c r="A1267" s="13" t="str">
        <f>MID(Indicadores[[#This Row],[CIIU]],2,4)</f>
        <v>0113</v>
      </c>
      <c r="B1267" s="13" t="str">
        <f>Indicadores[[#This Row],[CIIU]]&amp;Indicadores[[#This Row],[Año]]</f>
        <v>A01132019</v>
      </c>
      <c r="C1267" s="845" t="s">
        <v>2108</v>
      </c>
      <c r="D1267" s="845" t="s">
        <v>2109</v>
      </c>
      <c r="E1267" s="843">
        <v>2019</v>
      </c>
      <c r="F1267" s="844" t="s">
        <v>2118</v>
      </c>
      <c r="G1267" s="842" t="s">
        <v>2119</v>
      </c>
      <c r="H1267" s="843" t="s">
        <v>2120</v>
      </c>
      <c r="I1267" s="842" t="s">
        <v>2121</v>
      </c>
      <c r="J1267" s="840">
        <v>32457209</v>
      </c>
      <c r="K1267" s="840">
        <v>46841671</v>
      </c>
      <c r="L1267" s="841">
        <v>585957514</v>
      </c>
      <c r="M1267" s="840">
        <v>397112399</v>
      </c>
      <c r="N1267" s="839">
        <f>Indicadores[[#This Row],[Ventas]]/Indicadores[[#This Row],[Activos totales]]</f>
        <v>0.67771534541666445</v>
      </c>
      <c r="O1267" s="837">
        <f>IF(Indicadores[[#This Row],[Ventas]]=0,0,Indicadores[[#This Row],[EBITDA]]/Indicadores[[#This Row],[Ventas]])</f>
        <v>0.11795569999313972</v>
      </c>
      <c r="P1267" s="837">
        <f>IF(Indicadores[[#This Row],[Ventas]]=0,0,Indicadores[[#This Row],[UAI]]/Indicadores[[#This Row],[Ventas]])</f>
        <v>8.1733053618403897E-2</v>
      </c>
      <c r="Q1267" s="837">
        <f>IFERROR(Indicadores[[#This Row],[Ventas]]/Indicadores[[#This Row],[Activos totales]],0)</f>
        <v>0.67771534541666445</v>
      </c>
    </row>
    <row r="1268" spans="1:17" hidden="1" x14ac:dyDescent="0.3">
      <c r="A1268" s="13" t="str">
        <f>MID(Indicadores[[#This Row],[CIIU]],2,4)</f>
        <v>0114</v>
      </c>
      <c r="B1268" s="13" t="str">
        <f>Indicadores[[#This Row],[CIIU]]&amp;Indicadores[[#This Row],[Año]]</f>
        <v>A01142019</v>
      </c>
      <c r="C1268" s="845" t="s">
        <v>2108</v>
      </c>
      <c r="D1268" s="845" t="s">
        <v>2109</v>
      </c>
      <c r="E1268" s="843">
        <v>2019</v>
      </c>
      <c r="F1268" s="844" t="s">
        <v>2122</v>
      </c>
      <c r="G1268" s="842" t="s">
        <v>2123</v>
      </c>
      <c r="H1268" s="843" t="s">
        <v>2124</v>
      </c>
      <c r="I1268" s="842" t="s">
        <v>2125</v>
      </c>
      <c r="J1268" s="840">
        <v>51082</v>
      </c>
      <c r="K1268" s="840">
        <v>51082</v>
      </c>
      <c r="L1268" s="841">
        <v>2392125</v>
      </c>
      <c r="M1268" s="840">
        <v>898001</v>
      </c>
      <c r="N1268" s="839">
        <f>Indicadores[[#This Row],[Ventas]]/Indicadores[[#This Row],[Activos totales]]</f>
        <v>0.37539886084548257</v>
      </c>
      <c r="O1268" s="837">
        <f>IF(Indicadores[[#This Row],[Ventas]]=0,0,Indicadores[[#This Row],[EBITDA]]/Indicadores[[#This Row],[Ventas]])</f>
        <v>5.6884123737055974E-2</v>
      </c>
      <c r="P1268" s="837">
        <f>IF(Indicadores[[#This Row],[Ventas]]=0,0,Indicadores[[#This Row],[UAI]]/Indicadores[[#This Row],[Ventas]])</f>
        <v>5.6884123737055974E-2</v>
      </c>
      <c r="Q1268" s="837">
        <f>IFERROR(Indicadores[[#This Row],[Ventas]]/Indicadores[[#This Row],[Activos totales]],0)</f>
        <v>0.37539886084548257</v>
      </c>
    </row>
    <row r="1269" spans="1:17" hidden="1" x14ac:dyDescent="0.3">
      <c r="A1269" s="13" t="str">
        <f>MID(Indicadores[[#This Row],[CIIU]],2,4)</f>
        <v>0115</v>
      </c>
      <c r="B1269" s="13" t="str">
        <f>Indicadores[[#This Row],[CIIU]]&amp;Indicadores[[#This Row],[Año]]</f>
        <v>A01152019</v>
      </c>
      <c r="C1269" s="845" t="s">
        <v>2108</v>
      </c>
      <c r="D1269" s="845" t="s">
        <v>2109</v>
      </c>
      <c r="E1269" s="843">
        <v>2019</v>
      </c>
      <c r="F1269" s="844" t="s">
        <v>2126</v>
      </c>
      <c r="G1269" s="842" t="s">
        <v>2127</v>
      </c>
      <c r="H1269" s="843" t="s">
        <v>2128</v>
      </c>
      <c r="I1269" s="842" t="s">
        <v>2129</v>
      </c>
      <c r="J1269" s="840">
        <v>2638</v>
      </c>
      <c r="K1269" s="840">
        <v>2638</v>
      </c>
      <c r="L1269" s="841">
        <v>2404101</v>
      </c>
      <c r="M1269" s="840">
        <v>702684</v>
      </c>
      <c r="N1269" s="839">
        <f>Indicadores[[#This Row],[Ventas]]/Indicadores[[#This Row],[Activos totales]]</f>
        <v>0.2922855570543833</v>
      </c>
      <c r="O1269" s="837">
        <f>IF(Indicadores[[#This Row],[Ventas]]=0,0,Indicadores[[#This Row],[EBITDA]]/Indicadores[[#This Row],[Ventas]])</f>
        <v>3.7541768419374856E-3</v>
      </c>
      <c r="P1269" s="837">
        <f>IF(Indicadores[[#This Row],[Ventas]]=0,0,Indicadores[[#This Row],[UAI]]/Indicadores[[#This Row],[Ventas]])</f>
        <v>3.7541768419374856E-3</v>
      </c>
      <c r="Q1269" s="837">
        <f>IFERROR(Indicadores[[#This Row],[Ventas]]/Indicadores[[#This Row],[Activos totales]],0)</f>
        <v>0.2922855570543833</v>
      </c>
    </row>
    <row r="1270" spans="1:17" hidden="1" x14ac:dyDescent="0.3">
      <c r="A1270" s="13" t="str">
        <f>MID(Indicadores[[#This Row],[CIIU]],2,4)</f>
        <v>0119</v>
      </c>
      <c r="B1270" s="13" t="str">
        <f>Indicadores[[#This Row],[CIIU]]&amp;Indicadores[[#This Row],[Año]]</f>
        <v>A01192019</v>
      </c>
      <c r="C1270" s="845" t="s">
        <v>2108</v>
      </c>
      <c r="D1270" s="845" t="s">
        <v>2109</v>
      </c>
      <c r="E1270" s="843">
        <v>2019</v>
      </c>
      <c r="F1270" s="844" t="s">
        <v>2130</v>
      </c>
      <c r="G1270" s="842" t="s">
        <v>2131</v>
      </c>
      <c r="H1270" s="843" t="s">
        <v>2132</v>
      </c>
      <c r="I1270" s="842" t="s">
        <v>2131</v>
      </c>
      <c r="J1270" s="840">
        <v>15296474</v>
      </c>
      <c r="K1270" s="840">
        <v>21238482</v>
      </c>
      <c r="L1270" s="841">
        <v>466753705</v>
      </c>
      <c r="M1270" s="840">
        <v>78255626</v>
      </c>
      <c r="N1270" s="839">
        <f>Indicadores[[#This Row],[Ventas]]/Indicadores[[#This Row],[Activos totales]]</f>
        <v>0.16765935687644942</v>
      </c>
      <c r="O1270" s="837">
        <f>IF(Indicadores[[#This Row],[Ventas]]=0,0,Indicadores[[#This Row],[EBITDA]]/Indicadores[[#This Row],[Ventas]])</f>
        <v>0.27139878735364026</v>
      </c>
      <c r="P1270" s="837">
        <f>IF(Indicadores[[#This Row],[Ventas]]=0,0,Indicadores[[#This Row],[UAI]]/Indicadores[[#This Row],[Ventas]])</f>
        <v>0.19546804213156507</v>
      </c>
      <c r="Q1270" s="837">
        <f>IFERROR(Indicadores[[#This Row],[Ventas]]/Indicadores[[#This Row],[Activos totales]],0)</f>
        <v>0.16765935687644942</v>
      </c>
    </row>
    <row r="1271" spans="1:17" hidden="1" x14ac:dyDescent="0.3">
      <c r="A1271" s="13" t="str">
        <f>MID(Indicadores[[#This Row],[CIIU]],2,4)</f>
        <v>0121</v>
      </c>
      <c r="B1271" s="13" t="str">
        <f>Indicadores[[#This Row],[CIIU]]&amp;Indicadores[[#This Row],[Año]]</f>
        <v>A01212019</v>
      </c>
      <c r="C1271" s="845" t="s">
        <v>2108</v>
      </c>
      <c r="D1271" s="845" t="s">
        <v>2109</v>
      </c>
      <c r="E1271" s="843">
        <v>2019</v>
      </c>
      <c r="F1271" s="844" t="s">
        <v>2133</v>
      </c>
      <c r="G1271" s="842" t="s">
        <v>2134</v>
      </c>
      <c r="H1271" s="843" t="s">
        <v>2135</v>
      </c>
      <c r="I1271" s="842" t="s">
        <v>2134</v>
      </c>
      <c r="J1271" s="840">
        <v>10444380</v>
      </c>
      <c r="K1271" s="840">
        <v>20135328</v>
      </c>
      <c r="L1271" s="841">
        <v>1146133365</v>
      </c>
      <c r="M1271" s="840">
        <v>230581495</v>
      </c>
      <c r="N1271" s="839">
        <f>Indicadores[[#This Row],[Ventas]]/Indicadores[[#This Row],[Activos totales]]</f>
        <v>0.20118208058623266</v>
      </c>
      <c r="O1271" s="837">
        <f>IF(Indicadores[[#This Row],[Ventas]]=0,0,Indicadores[[#This Row],[EBITDA]]/Indicadores[[#This Row],[Ventas]])</f>
        <v>8.7324128070207896E-2</v>
      </c>
      <c r="P1271" s="837">
        <f>IF(Indicadores[[#This Row],[Ventas]]=0,0,Indicadores[[#This Row],[UAI]]/Indicadores[[#This Row],[Ventas]])</f>
        <v>4.5295829138413728E-2</v>
      </c>
      <c r="Q1271" s="837">
        <f>IFERROR(Indicadores[[#This Row],[Ventas]]/Indicadores[[#This Row],[Activos totales]],0)</f>
        <v>0.20118208058623266</v>
      </c>
    </row>
    <row r="1272" spans="1:17" hidden="1" x14ac:dyDescent="0.3">
      <c r="A1272" s="13" t="str">
        <f>MID(Indicadores[[#This Row],[CIIU]],2,4)</f>
        <v>0122</v>
      </c>
      <c r="B1272" s="13" t="str">
        <f>Indicadores[[#This Row],[CIIU]]&amp;Indicadores[[#This Row],[Año]]</f>
        <v>A01222019</v>
      </c>
      <c r="C1272" s="845" t="s">
        <v>2108</v>
      </c>
      <c r="D1272" s="845" t="s">
        <v>2109</v>
      </c>
      <c r="E1272" s="843">
        <v>2019</v>
      </c>
      <c r="F1272" s="844" t="s">
        <v>2136</v>
      </c>
      <c r="G1272" s="842" t="s">
        <v>2137</v>
      </c>
      <c r="H1272" s="843" t="s">
        <v>2138</v>
      </c>
      <c r="I1272" s="842" t="s">
        <v>2137</v>
      </c>
      <c r="J1272" s="840">
        <v>17114231</v>
      </c>
      <c r="K1272" s="840">
        <v>75348529</v>
      </c>
      <c r="L1272" s="841">
        <v>3878495227</v>
      </c>
      <c r="M1272" s="840">
        <v>1698900876</v>
      </c>
      <c r="N1272" s="839">
        <f>Indicadores[[#This Row],[Ventas]]/Indicadores[[#This Row],[Activos totales]]</f>
        <v>0.43803093121609765</v>
      </c>
      <c r="O1272" s="837">
        <f>IF(Indicadores[[#This Row],[Ventas]]=0,0,Indicadores[[#This Row],[EBITDA]]/Indicadores[[#This Row],[Ventas]])</f>
        <v>4.4351339189020469E-2</v>
      </c>
      <c r="P1272" s="837">
        <f>IF(Indicadores[[#This Row],[Ventas]]=0,0,Indicadores[[#This Row],[UAI]]/Indicadores[[#This Row],[Ventas]])</f>
        <v>1.0073707796475349E-2</v>
      </c>
      <c r="Q1272" s="837">
        <f>IFERROR(Indicadores[[#This Row],[Ventas]]/Indicadores[[#This Row],[Activos totales]],0)</f>
        <v>0.43803093121609765</v>
      </c>
    </row>
    <row r="1273" spans="1:17" hidden="1" x14ac:dyDescent="0.3">
      <c r="A1273" s="13" t="str">
        <f>MID(Indicadores[[#This Row],[CIIU]],2,4)</f>
        <v>0123</v>
      </c>
      <c r="B1273" s="13" t="str">
        <f>Indicadores[[#This Row],[CIIU]]&amp;Indicadores[[#This Row],[Año]]</f>
        <v>A01232019</v>
      </c>
      <c r="C1273" s="845" t="s">
        <v>2108</v>
      </c>
      <c r="D1273" s="845" t="s">
        <v>2109</v>
      </c>
      <c r="E1273" s="843">
        <v>2019</v>
      </c>
      <c r="F1273" s="844" t="s">
        <v>2139</v>
      </c>
      <c r="G1273" s="842" t="s">
        <v>2140</v>
      </c>
      <c r="H1273" s="843" t="s">
        <v>2141</v>
      </c>
      <c r="I1273" s="842" t="s">
        <v>2140</v>
      </c>
      <c r="J1273" s="840">
        <v>30780349</v>
      </c>
      <c r="K1273" s="840">
        <v>34178667</v>
      </c>
      <c r="L1273" s="841">
        <v>408569457</v>
      </c>
      <c r="M1273" s="840">
        <v>140692394</v>
      </c>
      <c r="N1273" s="839">
        <f>Indicadores[[#This Row],[Ventas]]/Indicadores[[#This Row],[Activos totales]]</f>
        <v>0.34435367497380009</v>
      </c>
      <c r="O1273" s="837">
        <f>IF(Indicadores[[#This Row],[Ventas]]=0,0,Indicadores[[#This Row],[EBITDA]]/Indicadores[[#This Row],[Ventas]])</f>
        <v>0.24293187448356304</v>
      </c>
      <c r="P1273" s="837">
        <f>IF(Indicadores[[#This Row],[Ventas]]=0,0,Indicadores[[#This Row],[UAI]]/Indicadores[[#This Row],[Ventas]])</f>
        <v>0.21877763342345288</v>
      </c>
      <c r="Q1273" s="837">
        <f>IFERROR(Indicadores[[#This Row],[Ventas]]/Indicadores[[#This Row],[Activos totales]],0)</f>
        <v>0.34435367497380009</v>
      </c>
    </row>
    <row r="1274" spans="1:17" hidden="1" x14ac:dyDescent="0.3">
      <c r="A1274" s="13" t="str">
        <f>MID(Indicadores[[#This Row],[CIIU]],2,4)</f>
        <v>0124</v>
      </c>
      <c r="B1274" s="13" t="str">
        <f>Indicadores[[#This Row],[CIIU]]&amp;Indicadores[[#This Row],[Año]]</f>
        <v>A01242019</v>
      </c>
      <c r="C1274" s="845" t="s">
        <v>2108</v>
      </c>
      <c r="D1274" s="845" t="s">
        <v>2109</v>
      </c>
      <c r="E1274" s="843">
        <v>2019</v>
      </c>
      <c r="F1274" s="844" t="s">
        <v>2142</v>
      </c>
      <c r="G1274" s="842" t="s">
        <v>2143</v>
      </c>
      <c r="H1274" s="843" t="s">
        <v>2144</v>
      </c>
      <c r="I1274" s="842" t="s">
        <v>2143</v>
      </c>
      <c r="J1274" s="840">
        <v>-131607685</v>
      </c>
      <c r="K1274" s="840">
        <v>-99396978</v>
      </c>
      <c r="L1274" s="841">
        <v>6791758641</v>
      </c>
      <c r="M1274" s="840">
        <v>601376337</v>
      </c>
      <c r="N1274" s="839">
        <f>Indicadores[[#This Row],[Ventas]]/Indicadores[[#This Row],[Activos totales]]</f>
        <v>8.8545010031666108E-2</v>
      </c>
      <c r="O1274" s="837">
        <f>IF(Indicadores[[#This Row],[Ventas]]=0,0,Indicadores[[#This Row],[EBITDA]]/Indicadores[[#This Row],[Ventas]])</f>
        <v>-0.16528248932415177</v>
      </c>
      <c r="P1274" s="837">
        <f>IF(Indicadores[[#This Row],[Ventas]]=0,0,Indicadores[[#This Row],[UAI]]/Indicadores[[#This Row],[Ventas]])</f>
        <v>-0.21884413619686535</v>
      </c>
      <c r="Q1274" s="837">
        <f>IFERROR(Indicadores[[#This Row],[Ventas]]/Indicadores[[#This Row],[Activos totales]],0)</f>
        <v>8.8545010031666108E-2</v>
      </c>
    </row>
    <row r="1275" spans="1:17" hidden="1" x14ac:dyDescent="0.3">
      <c r="A1275" s="13" t="str">
        <f>MID(Indicadores[[#This Row],[CIIU]],2,4)</f>
        <v>0125</v>
      </c>
      <c r="B1275" s="13" t="str">
        <f>Indicadores[[#This Row],[CIIU]]&amp;Indicadores[[#This Row],[Año]]</f>
        <v>A01252019</v>
      </c>
      <c r="C1275" s="845" t="s">
        <v>2108</v>
      </c>
      <c r="D1275" s="845" t="s">
        <v>2109</v>
      </c>
      <c r="E1275" s="843">
        <v>2019</v>
      </c>
      <c r="F1275" s="844" t="s">
        <v>2145</v>
      </c>
      <c r="G1275" s="842" t="s">
        <v>2146</v>
      </c>
      <c r="H1275" s="843" t="s">
        <v>2147</v>
      </c>
      <c r="I1275" s="842" t="s">
        <v>2146</v>
      </c>
      <c r="J1275" s="840">
        <v>181459464</v>
      </c>
      <c r="K1275" s="840">
        <v>448322637</v>
      </c>
      <c r="L1275" s="841">
        <v>4240027703</v>
      </c>
      <c r="M1275" s="840">
        <v>4210879174</v>
      </c>
      <c r="N1275" s="839">
        <f>Indicadores[[#This Row],[Ventas]]/Indicadores[[#This Row],[Activos totales]]</f>
        <v>0.99312539185077109</v>
      </c>
      <c r="O1275" s="837">
        <f>IF(Indicadores[[#This Row],[Ventas]]=0,0,Indicadores[[#This Row],[EBITDA]]/Indicadores[[#This Row],[Ventas]])</f>
        <v>0.10646770388667533</v>
      </c>
      <c r="P1275" s="837">
        <f>IF(Indicadores[[#This Row],[Ventas]]=0,0,Indicadores[[#This Row],[UAI]]/Indicadores[[#This Row],[Ventas]])</f>
        <v>4.3093011340818874E-2</v>
      </c>
      <c r="Q1275" s="837">
        <f>IFERROR(Indicadores[[#This Row],[Ventas]]/Indicadores[[#This Row],[Activos totales]],0)</f>
        <v>0.99312539185077109</v>
      </c>
    </row>
    <row r="1276" spans="1:17" hidden="1" x14ac:dyDescent="0.3">
      <c r="A1276" s="13" t="str">
        <f>MID(Indicadores[[#This Row],[CIIU]],2,4)</f>
        <v>0126</v>
      </c>
      <c r="B1276" s="13" t="str">
        <f>Indicadores[[#This Row],[CIIU]]&amp;Indicadores[[#This Row],[Año]]</f>
        <v>A01262019</v>
      </c>
      <c r="C1276" s="845" t="s">
        <v>2108</v>
      </c>
      <c r="D1276" s="845" t="s">
        <v>2109</v>
      </c>
      <c r="E1276" s="843">
        <v>2019</v>
      </c>
      <c r="F1276" s="844" t="s">
        <v>2148</v>
      </c>
      <c r="G1276" s="842" t="s">
        <v>2149</v>
      </c>
      <c r="H1276" s="843" t="s">
        <v>2150</v>
      </c>
      <c r="I1276" s="842" t="s">
        <v>2149</v>
      </c>
      <c r="J1276" s="840">
        <v>-29865644</v>
      </c>
      <c r="K1276" s="840">
        <v>54547092</v>
      </c>
      <c r="L1276" s="841">
        <v>6521328362</v>
      </c>
      <c r="M1276" s="840">
        <v>1534161012</v>
      </c>
      <c r="N1276" s="839">
        <f>Indicadores[[#This Row],[Ventas]]/Indicadores[[#This Row],[Activos totales]]</f>
        <v>0.23525283912087724</v>
      </c>
      <c r="O1276" s="837">
        <f>IF(Indicadores[[#This Row],[Ventas]]=0,0,Indicadores[[#This Row],[EBITDA]]/Indicadores[[#This Row],[Ventas]])</f>
        <v>3.5554998186852635E-2</v>
      </c>
      <c r="P1276" s="837">
        <f>IF(Indicadores[[#This Row],[Ventas]]=0,0,Indicadores[[#This Row],[UAI]]/Indicadores[[#This Row],[Ventas]])</f>
        <v>-1.9467085766353708E-2</v>
      </c>
      <c r="Q1276" s="837">
        <f>IFERROR(Indicadores[[#This Row],[Ventas]]/Indicadores[[#This Row],[Activos totales]],0)</f>
        <v>0.23525283912087724</v>
      </c>
    </row>
    <row r="1277" spans="1:17" hidden="1" x14ac:dyDescent="0.3">
      <c r="A1277" s="13" t="str">
        <f>MID(Indicadores[[#This Row],[CIIU]],2,4)</f>
        <v>0127</v>
      </c>
      <c r="B1277" s="13" t="str">
        <f>Indicadores[[#This Row],[CIIU]]&amp;Indicadores[[#This Row],[Año]]</f>
        <v>A01272019</v>
      </c>
      <c r="C1277" s="845" t="s">
        <v>2108</v>
      </c>
      <c r="D1277" s="845" t="s">
        <v>2109</v>
      </c>
      <c r="E1277" s="843">
        <v>2019</v>
      </c>
      <c r="F1277" s="844" t="s">
        <v>2151</v>
      </c>
      <c r="G1277" s="842" t="s">
        <v>2152</v>
      </c>
      <c r="H1277" s="843" t="s">
        <v>2153</v>
      </c>
      <c r="I1277" s="842" t="s">
        <v>2152</v>
      </c>
      <c r="J1277" s="840">
        <v>8622017</v>
      </c>
      <c r="K1277" s="840">
        <v>9413267</v>
      </c>
      <c r="L1277" s="841">
        <v>43183478</v>
      </c>
      <c r="M1277" s="840">
        <v>52910661</v>
      </c>
      <c r="N1277" s="839">
        <f>Indicadores[[#This Row],[Ventas]]/Indicadores[[#This Row],[Activos totales]]</f>
        <v>1.2252524217711227</v>
      </c>
      <c r="O1277" s="837">
        <f>IF(Indicadores[[#This Row],[Ventas]]=0,0,Indicadores[[#This Row],[EBITDA]]/Indicadores[[#This Row],[Ventas]])</f>
        <v>0.17790870161308323</v>
      </c>
      <c r="P1277" s="837">
        <f>IF(Indicadores[[#This Row],[Ventas]]=0,0,Indicadores[[#This Row],[UAI]]/Indicadores[[#This Row],[Ventas]])</f>
        <v>0.1629542484831176</v>
      </c>
      <c r="Q1277" s="837">
        <f>IFERROR(Indicadores[[#This Row],[Ventas]]/Indicadores[[#This Row],[Activos totales]],0)</f>
        <v>1.2252524217711227</v>
      </c>
    </row>
    <row r="1278" spans="1:17" hidden="1" x14ac:dyDescent="0.3">
      <c r="A1278" s="13" t="str">
        <f>MID(Indicadores[[#This Row],[CIIU]],2,4)</f>
        <v>0128</v>
      </c>
      <c r="B1278" s="13" t="str">
        <f>Indicadores[[#This Row],[CIIU]]&amp;Indicadores[[#This Row],[Año]]</f>
        <v>A01282019</v>
      </c>
      <c r="C1278" s="845" t="s">
        <v>2108</v>
      </c>
      <c r="D1278" s="845" t="s">
        <v>2109</v>
      </c>
      <c r="E1278" s="843">
        <v>2019</v>
      </c>
      <c r="F1278" s="844" t="s">
        <v>2154</v>
      </c>
      <c r="G1278" s="842" t="s">
        <v>2155</v>
      </c>
      <c r="H1278" s="843" t="s">
        <v>2156</v>
      </c>
      <c r="I1278" s="842" t="s">
        <v>2157</v>
      </c>
      <c r="J1278" s="840">
        <v>4497897</v>
      </c>
      <c r="K1278" s="840">
        <v>5059659</v>
      </c>
      <c r="L1278" s="841">
        <v>34401331</v>
      </c>
      <c r="M1278" s="840">
        <v>37864147</v>
      </c>
      <c r="N1278" s="839">
        <f>Indicadores[[#This Row],[Ventas]]/Indicadores[[#This Row],[Activos totales]]</f>
        <v>1.1006593611159987</v>
      </c>
      <c r="O1278" s="837">
        <f>IF(Indicadores[[#This Row],[Ventas]]=0,0,Indicadores[[#This Row],[EBITDA]]/Indicadores[[#This Row],[Ventas]])</f>
        <v>0.13362664686464482</v>
      </c>
      <c r="P1278" s="837">
        <f>IF(Indicadores[[#This Row],[Ventas]]=0,0,Indicadores[[#This Row],[UAI]]/Indicadores[[#This Row],[Ventas]])</f>
        <v>0.11879039556866289</v>
      </c>
      <c r="Q1278" s="837">
        <f>IFERROR(Indicadores[[#This Row],[Ventas]]/Indicadores[[#This Row],[Activos totales]],0)</f>
        <v>1.1006593611159987</v>
      </c>
    </row>
    <row r="1279" spans="1:17" hidden="1" x14ac:dyDescent="0.3">
      <c r="A1279" s="13" t="str">
        <f>MID(Indicadores[[#This Row],[CIIU]],2,4)</f>
        <v>0129</v>
      </c>
      <c r="B1279" s="13" t="str">
        <f>Indicadores[[#This Row],[CIIU]]&amp;Indicadores[[#This Row],[Año]]</f>
        <v>A01292019</v>
      </c>
      <c r="C1279" s="845" t="s">
        <v>2108</v>
      </c>
      <c r="D1279" s="845" t="s">
        <v>2109</v>
      </c>
      <c r="E1279" s="843">
        <v>2019</v>
      </c>
      <c r="F1279" s="844" t="s">
        <v>2158</v>
      </c>
      <c r="G1279" s="842" t="s">
        <v>2159</v>
      </c>
      <c r="H1279" s="843" t="s">
        <v>2160</v>
      </c>
      <c r="I1279" s="842" t="s">
        <v>2159</v>
      </c>
      <c r="J1279" s="840">
        <v>-4217296</v>
      </c>
      <c r="K1279" s="840">
        <v>-90349</v>
      </c>
      <c r="L1279" s="841">
        <v>394214765</v>
      </c>
      <c r="M1279" s="840">
        <v>78747313</v>
      </c>
      <c r="N1279" s="839">
        <f>Indicadores[[#This Row],[Ventas]]/Indicadores[[#This Row],[Activos totales]]</f>
        <v>0.19975739112663626</v>
      </c>
      <c r="O1279" s="837">
        <f>IF(Indicadores[[#This Row],[Ventas]]=0,0,Indicadores[[#This Row],[EBITDA]]/Indicadores[[#This Row],[Ventas]])</f>
        <v>-1.1473280364499548E-3</v>
      </c>
      <c r="P1279" s="837">
        <f>IF(Indicadores[[#This Row],[Ventas]]=0,0,Indicadores[[#This Row],[UAI]]/Indicadores[[#This Row],[Ventas]])</f>
        <v>-5.355479240288491E-2</v>
      </c>
      <c r="Q1279" s="837">
        <f>IFERROR(Indicadores[[#This Row],[Ventas]]/Indicadores[[#This Row],[Activos totales]],0)</f>
        <v>0.19975739112663626</v>
      </c>
    </row>
    <row r="1280" spans="1:17" hidden="1" x14ac:dyDescent="0.3">
      <c r="A1280" s="13" t="str">
        <f>MID(Indicadores[[#This Row],[CIIU]],2,4)</f>
        <v>0130</v>
      </c>
      <c r="B1280" s="13" t="str">
        <f>Indicadores[[#This Row],[CIIU]]&amp;Indicadores[[#This Row],[Año]]</f>
        <v>A01302019</v>
      </c>
      <c r="C1280" s="845" t="s">
        <v>2108</v>
      </c>
      <c r="D1280" s="845" t="s">
        <v>2109</v>
      </c>
      <c r="E1280" s="843">
        <v>2019</v>
      </c>
      <c r="F1280" s="844" t="s">
        <v>2161</v>
      </c>
      <c r="G1280" s="842" t="s">
        <v>2162</v>
      </c>
      <c r="H1280" s="843" t="s">
        <v>2163</v>
      </c>
      <c r="I1280" s="842" t="s">
        <v>2164</v>
      </c>
      <c r="J1280" s="840">
        <v>2185484</v>
      </c>
      <c r="K1280" s="840">
        <v>4767711</v>
      </c>
      <c r="L1280" s="841">
        <v>90162409</v>
      </c>
      <c r="M1280" s="840">
        <v>57519081</v>
      </c>
      <c r="N1280" s="839">
        <f>Indicadores[[#This Row],[Ventas]]/Indicadores[[#This Row],[Activos totales]]</f>
        <v>0.63794969142849767</v>
      </c>
      <c r="O1280" s="837">
        <f>IF(Indicadores[[#This Row],[Ventas]]=0,0,Indicadores[[#This Row],[EBITDA]]/Indicadores[[#This Row],[Ventas]])</f>
        <v>8.2889206800783211E-2</v>
      </c>
      <c r="P1280" s="837">
        <f>IF(Indicadores[[#This Row],[Ventas]]=0,0,Indicadores[[#This Row],[UAI]]/Indicadores[[#This Row],[Ventas]])</f>
        <v>3.7995808729976058E-2</v>
      </c>
      <c r="Q1280" s="837">
        <f>IFERROR(Indicadores[[#This Row],[Ventas]]/Indicadores[[#This Row],[Activos totales]],0)</f>
        <v>0.63794969142849767</v>
      </c>
    </row>
    <row r="1281" spans="1:17" hidden="1" x14ac:dyDescent="0.3">
      <c r="A1281" s="13" t="str">
        <f>MID(Indicadores[[#This Row],[CIIU]],2,4)</f>
        <v>0141</v>
      </c>
      <c r="B1281" s="13" t="str">
        <f>Indicadores[[#This Row],[CIIU]]&amp;Indicadores[[#This Row],[Año]]</f>
        <v>A01412019</v>
      </c>
      <c r="C1281" s="845" t="s">
        <v>2108</v>
      </c>
      <c r="D1281" s="845" t="s">
        <v>2109</v>
      </c>
      <c r="E1281" s="843">
        <v>2019</v>
      </c>
      <c r="F1281" s="844" t="s">
        <v>2165</v>
      </c>
      <c r="G1281" s="842" t="s">
        <v>2166</v>
      </c>
      <c r="H1281" s="843" t="s">
        <v>2167</v>
      </c>
      <c r="I1281" s="842" t="s">
        <v>2166</v>
      </c>
      <c r="J1281" s="840">
        <v>65056681</v>
      </c>
      <c r="K1281" s="840">
        <v>94842796</v>
      </c>
      <c r="L1281" s="841">
        <v>4567817780</v>
      </c>
      <c r="M1281" s="840">
        <v>941660117</v>
      </c>
      <c r="N1281" s="839">
        <f>Indicadores[[#This Row],[Ventas]]/Indicadores[[#This Row],[Activos totales]]</f>
        <v>0.20615098113655489</v>
      </c>
      <c r="O1281" s="837">
        <f>IF(Indicadores[[#This Row],[Ventas]]=0,0,Indicadores[[#This Row],[EBITDA]]/Indicadores[[#This Row],[Ventas]])</f>
        <v>0.10071871399009245</v>
      </c>
      <c r="P1281" s="837">
        <f>IF(Indicadores[[#This Row],[Ventas]]=0,0,Indicadores[[#This Row],[UAI]]/Indicadores[[#This Row],[Ventas]])</f>
        <v>6.9087221414093292E-2</v>
      </c>
      <c r="Q1281" s="837">
        <f>IFERROR(Indicadores[[#This Row],[Ventas]]/Indicadores[[#This Row],[Activos totales]],0)</f>
        <v>0.20615098113655489</v>
      </c>
    </row>
    <row r="1282" spans="1:17" hidden="1" x14ac:dyDescent="0.3">
      <c r="A1282" s="13" t="str">
        <f>MID(Indicadores[[#This Row],[CIIU]],2,4)</f>
        <v>0142</v>
      </c>
      <c r="B1282" s="13" t="str">
        <f>Indicadores[[#This Row],[CIIU]]&amp;Indicadores[[#This Row],[Año]]</f>
        <v>A01422019</v>
      </c>
      <c r="C1282" s="845" t="s">
        <v>2108</v>
      </c>
      <c r="D1282" s="845" t="s">
        <v>2109</v>
      </c>
      <c r="E1282" s="843">
        <v>2019</v>
      </c>
      <c r="F1282" s="844" t="s">
        <v>3539</v>
      </c>
      <c r="G1282" s="842" t="s">
        <v>3540</v>
      </c>
      <c r="H1282" s="843" t="s">
        <v>3541</v>
      </c>
      <c r="I1282" s="842" t="s">
        <v>3542</v>
      </c>
      <c r="J1282" s="840">
        <v>7347971</v>
      </c>
      <c r="K1282" s="840">
        <v>7522278</v>
      </c>
      <c r="L1282" s="841">
        <v>328558079</v>
      </c>
      <c r="M1282" s="840">
        <v>11463416</v>
      </c>
      <c r="N1282" s="839">
        <f>Indicadores[[#This Row],[Ventas]]/Indicadores[[#This Row],[Activos totales]]</f>
        <v>3.4890074944710157E-2</v>
      </c>
      <c r="O1282" s="837">
        <f>IF(Indicadores[[#This Row],[Ventas]]=0,0,Indicadores[[#This Row],[EBITDA]]/Indicadores[[#This Row],[Ventas]])</f>
        <v>0.65619864096356617</v>
      </c>
      <c r="P1282" s="837">
        <f>IF(Indicadores[[#This Row],[Ventas]]=0,0,Indicadores[[#This Row],[UAI]]/Indicadores[[#This Row],[Ventas]])</f>
        <v>0.64099313851996642</v>
      </c>
      <c r="Q1282" s="837">
        <f>IFERROR(Indicadores[[#This Row],[Ventas]]/Indicadores[[#This Row],[Activos totales]],0)</f>
        <v>3.4890074944710157E-2</v>
      </c>
    </row>
    <row r="1283" spans="1:17" hidden="1" x14ac:dyDescent="0.3">
      <c r="A1283" s="13" t="str">
        <f>MID(Indicadores[[#This Row],[CIIU]],2,4)</f>
        <v>0143</v>
      </c>
      <c r="B1283" s="13" t="str">
        <f>Indicadores[[#This Row],[CIIU]]&amp;Indicadores[[#This Row],[Año]]</f>
        <v>A01432019</v>
      </c>
      <c r="C1283" s="845" t="s">
        <v>2108</v>
      </c>
      <c r="D1283" s="845" t="s">
        <v>2109</v>
      </c>
      <c r="E1283" s="843">
        <v>2019</v>
      </c>
      <c r="F1283" s="844" t="s">
        <v>2168</v>
      </c>
      <c r="G1283" s="842" t="s">
        <v>2169</v>
      </c>
      <c r="H1283" s="843" t="s">
        <v>2170</v>
      </c>
      <c r="I1283" s="842" t="s">
        <v>2171</v>
      </c>
      <c r="J1283" s="840">
        <v>-3703297</v>
      </c>
      <c r="K1283" s="840">
        <v>-3703297</v>
      </c>
      <c r="L1283" s="841">
        <v>25792515</v>
      </c>
      <c r="M1283" s="840">
        <v>14314554</v>
      </c>
      <c r="N1283" s="839">
        <f>Indicadores[[#This Row],[Ventas]]/Indicadores[[#This Row],[Activos totales]]</f>
        <v>0.55498868567101733</v>
      </c>
      <c r="O1283" s="837">
        <f>IF(Indicadores[[#This Row],[Ventas]]=0,0,Indicadores[[#This Row],[EBITDA]]/Indicadores[[#This Row],[Ventas]])</f>
        <v>-0.25870851442524861</v>
      </c>
      <c r="P1283" s="837">
        <f>IF(Indicadores[[#This Row],[Ventas]]=0,0,Indicadores[[#This Row],[UAI]]/Indicadores[[#This Row],[Ventas]])</f>
        <v>-0.25870851442524861</v>
      </c>
      <c r="Q1283" s="837">
        <f>IFERROR(Indicadores[[#This Row],[Ventas]]/Indicadores[[#This Row],[Activos totales]],0)</f>
        <v>0.55498868567101733</v>
      </c>
    </row>
    <row r="1284" spans="1:17" hidden="1" x14ac:dyDescent="0.3">
      <c r="A1284" s="13" t="str">
        <f>MID(Indicadores[[#This Row],[CIIU]],2,4)</f>
        <v>0144</v>
      </c>
      <c r="B1284" s="13" t="str">
        <f>Indicadores[[#This Row],[CIIU]]&amp;Indicadores[[#This Row],[Año]]</f>
        <v>A01442019</v>
      </c>
      <c r="C1284" s="845" t="s">
        <v>2108</v>
      </c>
      <c r="D1284" s="845" t="s">
        <v>2109</v>
      </c>
      <c r="E1284" s="843">
        <v>2019</v>
      </c>
      <c r="F1284" s="844" t="s">
        <v>2172</v>
      </c>
      <c r="G1284" s="842" t="s">
        <v>2173</v>
      </c>
      <c r="H1284" s="843" t="s">
        <v>2174</v>
      </c>
      <c r="I1284" s="842" t="s">
        <v>2173</v>
      </c>
      <c r="J1284" s="840">
        <v>50251066</v>
      </c>
      <c r="K1284" s="840">
        <v>77691993</v>
      </c>
      <c r="L1284" s="841">
        <v>977605343</v>
      </c>
      <c r="M1284" s="840">
        <v>1251887241</v>
      </c>
      <c r="N1284" s="839">
        <f>Indicadores[[#This Row],[Ventas]]/Indicadores[[#This Row],[Activos totales]]</f>
        <v>1.2805650561997799</v>
      </c>
      <c r="O1284" s="837">
        <f>IF(Indicadores[[#This Row],[Ventas]]=0,0,Indicadores[[#This Row],[EBITDA]]/Indicadores[[#This Row],[Ventas]])</f>
        <v>6.2059896814620541E-2</v>
      </c>
      <c r="P1284" s="837">
        <f>IF(Indicadores[[#This Row],[Ventas]]=0,0,Indicadores[[#This Row],[UAI]]/Indicadores[[#This Row],[Ventas]])</f>
        <v>4.0140249340555427E-2</v>
      </c>
      <c r="Q1284" s="837">
        <f>IFERROR(Indicadores[[#This Row],[Ventas]]/Indicadores[[#This Row],[Activos totales]],0)</f>
        <v>1.2805650561997799</v>
      </c>
    </row>
    <row r="1285" spans="1:17" hidden="1" x14ac:dyDescent="0.3">
      <c r="A1285" s="13" t="str">
        <f>MID(Indicadores[[#This Row],[CIIU]],2,4)</f>
        <v>0145</v>
      </c>
      <c r="B1285" s="13" t="str">
        <f>Indicadores[[#This Row],[CIIU]]&amp;Indicadores[[#This Row],[Año]]</f>
        <v>A01452019</v>
      </c>
      <c r="C1285" s="845" t="s">
        <v>2108</v>
      </c>
      <c r="D1285" s="845" t="s">
        <v>2109</v>
      </c>
      <c r="E1285" s="843">
        <v>2019</v>
      </c>
      <c r="F1285" s="844" t="s">
        <v>2175</v>
      </c>
      <c r="G1285" s="842" t="s">
        <v>2176</v>
      </c>
      <c r="H1285" s="843" t="s">
        <v>2177</v>
      </c>
      <c r="I1285" s="842" t="s">
        <v>2176</v>
      </c>
      <c r="J1285" s="840">
        <v>287178371</v>
      </c>
      <c r="K1285" s="840">
        <v>627146032</v>
      </c>
      <c r="L1285" s="841">
        <v>6566916727</v>
      </c>
      <c r="M1285" s="840">
        <v>9127467544</v>
      </c>
      <c r="N1285" s="839">
        <f>Indicadores[[#This Row],[Ventas]]/Indicadores[[#This Row],[Activos totales]]</f>
        <v>1.3899167483687205</v>
      </c>
      <c r="O1285" s="837">
        <f>IF(Indicadores[[#This Row],[Ventas]]=0,0,Indicadores[[#This Row],[EBITDA]]/Indicadores[[#This Row],[Ventas]])</f>
        <v>6.8709752072715777E-2</v>
      </c>
      <c r="P1285" s="837">
        <f>IF(Indicadores[[#This Row],[Ventas]]=0,0,Indicadores[[#This Row],[UAI]]/Indicadores[[#This Row],[Ventas]])</f>
        <v>3.1463094184188974E-2</v>
      </c>
      <c r="Q1285" s="837">
        <f>IFERROR(Indicadores[[#This Row],[Ventas]]/Indicadores[[#This Row],[Activos totales]],0)</f>
        <v>1.3899167483687205</v>
      </c>
    </row>
    <row r="1286" spans="1:17" hidden="1" x14ac:dyDescent="0.3">
      <c r="A1286" s="13" t="str">
        <f>MID(Indicadores[[#This Row],[CIIU]],2,4)</f>
        <v>0149</v>
      </c>
      <c r="B1286" s="13" t="str">
        <f>Indicadores[[#This Row],[CIIU]]&amp;Indicadores[[#This Row],[Año]]</f>
        <v>A01492019</v>
      </c>
      <c r="C1286" s="845" t="s">
        <v>2108</v>
      </c>
      <c r="D1286" s="845" t="s">
        <v>2109</v>
      </c>
      <c r="E1286" s="843">
        <v>2019</v>
      </c>
      <c r="F1286" s="844" t="s">
        <v>2178</v>
      </c>
      <c r="G1286" s="842" t="s">
        <v>2179</v>
      </c>
      <c r="H1286" s="843" t="s">
        <v>2180</v>
      </c>
      <c r="I1286" s="842" t="s">
        <v>2179</v>
      </c>
      <c r="J1286" s="840">
        <v>18397199</v>
      </c>
      <c r="K1286" s="840">
        <v>28466794</v>
      </c>
      <c r="L1286" s="841">
        <v>198044645</v>
      </c>
      <c r="M1286" s="840">
        <v>138835697</v>
      </c>
      <c r="N1286" s="839">
        <f>Indicadores[[#This Row],[Ventas]]/Indicadores[[#This Row],[Activos totales]]</f>
        <v>0.70103232026293871</v>
      </c>
      <c r="O1286" s="837">
        <f>IF(Indicadores[[#This Row],[Ventas]]=0,0,Indicadores[[#This Row],[EBITDA]]/Indicadores[[#This Row],[Ventas]])</f>
        <v>0.20503944313399455</v>
      </c>
      <c r="P1286" s="837">
        <f>IF(Indicadores[[#This Row],[Ventas]]=0,0,Indicadores[[#This Row],[UAI]]/Indicadores[[#This Row],[Ventas]])</f>
        <v>0.13251058191467863</v>
      </c>
      <c r="Q1286" s="837">
        <f>IFERROR(Indicadores[[#This Row],[Ventas]]/Indicadores[[#This Row],[Activos totales]],0)</f>
        <v>0.70103232026293871</v>
      </c>
    </row>
    <row r="1287" spans="1:17" hidden="1" x14ac:dyDescent="0.3">
      <c r="A1287" s="13" t="str">
        <f>MID(Indicadores[[#This Row],[CIIU]],2,4)</f>
        <v>0150</v>
      </c>
      <c r="B1287" s="13" t="str">
        <f>Indicadores[[#This Row],[CIIU]]&amp;Indicadores[[#This Row],[Año]]</f>
        <v>A01502019</v>
      </c>
      <c r="C1287" s="845" t="s">
        <v>2108</v>
      </c>
      <c r="D1287" s="845" t="s">
        <v>2109</v>
      </c>
      <c r="E1287" s="843">
        <v>2019</v>
      </c>
      <c r="F1287" s="844" t="s">
        <v>2181</v>
      </c>
      <c r="G1287" s="842" t="s">
        <v>2182</v>
      </c>
      <c r="H1287" s="843" t="s">
        <v>2183</v>
      </c>
      <c r="I1287" s="842" t="s">
        <v>2184</v>
      </c>
      <c r="J1287" s="840">
        <v>-4808486</v>
      </c>
      <c r="K1287" s="840">
        <v>14194479</v>
      </c>
      <c r="L1287" s="841">
        <v>2898099418</v>
      </c>
      <c r="M1287" s="840">
        <v>433103713</v>
      </c>
      <c r="N1287" s="839">
        <f>Indicadores[[#This Row],[Ventas]]/Indicadores[[#This Row],[Activos totales]]</f>
        <v>0.14944404954157442</v>
      </c>
      <c r="O1287" s="837">
        <f>IF(Indicadores[[#This Row],[Ventas]]=0,0,Indicadores[[#This Row],[EBITDA]]/Indicadores[[#This Row],[Ventas]])</f>
        <v>3.2773856639737468E-2</v>
      </c>
      <c r="P1287" s="837">
        <f>IF(Indicadores[[#This Row],[Ventas]]=0,0,Indicadores[[#This Row],[UAI]]/Indicadores[[#This Row],[Ventas]])</f>
        <v>-1.1102389233038046E-2</v>
      </c>
      <c r="Q1287" s="837">
        <f>IFERROR(Indicadores[[#This Row],[Ventas]]/Indicadores[[#This Row],[Activos totales]],0)</f>
        <v>0.14944404954157442</v>
      </c>
    </row>
    <row r="1288" spans="1:17" hidden="1" x14ac:dyDescent="0.3">
      <c r="A1288" s="13" t="str">
        <f>MID(Indicadores[[#This Row],[CIIU]],2,4)</f>
        <v>0161</v>
      </c>
      <c r="B1288" s="13" t="str">
        <f>Indicadores[[#This Row],[CIIU]]&amp;Indicadores[[#This Row],[Año]]</f>
        <v>A01612019</v>
      </c>
      <c r="C1288" s="845" t="s">
        <v>2108</v>
      </c>
      <c r="D1288" s="845" t="s">
        <v>2109</v>
      </c>
      <c r="E1288" s="843">
        <v>2019</v>
      </c>
      <c r="F1288" s="844" t="s">
        <v>2185</v>
      </c>
      <c r="G1288" s="842" t="s">
        <v>2186</v>
      </c>
      <c r="H1288" s="843" t="s">
        <v>2187</v>
      </c>
      <c r="I1288" s="842" t="s">
        <v>2188</v>
      </c>
      <c r="J1288" s="840">
        <v>19989870</v>
      </c>
      <c r="K1288" s="840">
        <v>31700370</v>
      </c>
      <c r="L1288" s="841">
        <v>1031531940</v>
      </c>
      <c r="M1288" s="840">
        <v>528399530</v>
      </c>
      <c r="N1288" s="839">
        <f>Indicadores[[#This Row],[Ventas]]/Indicadores[[#This Row],[Activos totales]]</f>
        <v>0.5122473764602965</v>
      </c>
      <c r="O1288" s="837">
        <f>IF(Indicadores[[#This Row],[Ventas]]=0,0,Indicadores[[#This Row],[EBITDA]]/Indicadores[[#This Row],[Ventas]])</f>
        <v>5.9993183566987657E-2</v>
      </c>
      <c r="P1288" s="837">
        <f>IF(Indicadores[[#This Row],[Ventas]]=0,0,Indicadores[[#This Row],[UAI]]/Indicadores[[#This Row],[Ventas]])</f>
        <v>3.7830976117635834E-2</v>
      </c>
      <c r="Q1288" s="837">
        <f>IFERROR(Indicadores[[#This Row],[Ventas]]/Indicadores[[#This Row],[Activos totales]],0)</f>
        <v>0.5122473764602965</v>
      </c>
    </row>
    <row r="1289" spans="1:17" hidden="1" x14ac:dyDescent="0.3">
      <c r="A1289" s="13" t="str">
        <f>MID(Indicadores[[#This Row],[CIIU]],2,4)</f>
        <v>0162</v>
      </c>
      <c r="B1289" s="13" t="str">
        <f>Indicadores[[#This Row],[CIIU]]&amp;Indicadores[[#This Row],[Año]]</f>
        <v>A01622019</v>
      </c>
      <c r="C1289" s="845" t="s">
        <v>2108</v>
      </c>
      <c r="D1289" s="845" t="s">
        <v>2109</v>
      </c>
      <c r="E1289" s="843">
        <v>2019</v>
      </c>
      <c r="F1289" s="844" t="s">
        <v>2189</v>
      </c>
      <c r="G1289" s="842" t="s">
        <v>2190</v>
      </c>
      <c r="H1289" s="843" t="s">
        <v>2191</v>
      </c>
      <c r="I1289" s="842" t="s">
        <v>2190</v>
      </c>
      <c r="J1289" s="840">
        <v>12051969</v>
      </c>
      <c r="K1289" s="840">
        <v>17125518</v>
      </c>
      <c r="L1289" s="841">
        <v>277117344</v>
      </c>
      <c r="M1289" s="840">
        <v>126134827</v>
      </c>
      <c r="N1289" s="839">
        <f>Indicadores[[#This Row],[Ventas]]/Indicadores[[#This Row],[Activos totales]]</f>
        <v>0.45516756612678849</v>
      </c>
      <c r="O1289" s="837">
        <f>IF(Indicadores[[#This Row],[Ventas]]=0,0,Indicadores[[#This Row],[EBITDA]]/Indicadores[[#This Row],[Ventas]])</f>
        <v>0.13577152644764795</v>
      </c>
      <c r="P1289" s="837">
        <f>IF(Indicadores[[#This Row],[Ventas]]=0,0,Indicadores[[#This Row],[UAI]]/Indicadores[[#This Row],[Ventas]])</f>
        <v>9.5548305623790963E-2</v>
      </c>
      <c r="Q1289" s="837">
        <f>IFERROR(Indicadores[[#This Row],[Ventas]]/Indicadores[[#This Row],[Activos totales]],0)</f>
        <v>0.45516756612678849</v>
      </c>
    </row>
    <row r="1290" spans="1:17" hidden="1" x14ac:dyDescent="0.3">
      <c r="A1290" s="13" t="str">
        <f>MID(Indicadores[[#This Row],[CIIU]],2,4)</f>
        <v>0163</v>
      </c>
      <c r="B1290" s="13" t="str">
        <f>Indicadores[[#This Row],[CIIU]]&amp;Indicadores[[#This Row],[Año]]</f>
        <v>A01632019</v>
      </c>
      <c r="C1290" s="845" t="s">
        <v>2108</v>
      </c>
      <c r="D1290" s="845" t="s">
        <v>2109</v>
      </c>
      <c r="E1290" s="843">
        <v>2019</v>
      </c>
      <c r="F1290" s="844" t="s">
        <v>2192</v>
      </c>
      <c r="G1290" s="842" t="s">
        <v>2193</v>
      </c>
      <c r="H1290" s="843" t="s">
        <v>2194</v>
      </c>
      <c r="I1290" s="842" t="s">
        <v>2195</v>
      </c>
      <c r="J1290" s="840">
        <v>3936947</v>
      </c>
      <c r="K1290" s="840">
        <v>3072996</v>
      </c>
      <c r="L1290" s="841">
        <v>46692520</v>
      </c>
      <c r="M1290" s="840">
        <v>81234371</v>
      </c>
      <c r="N1290" s="839">
        <f>Indicadores[[#This Row],[Ventas]]/Indicadores[[#This Row],[Activos totales]]</f>
        <v>1.7397726873597741</v>
      </c>
      <c r="O1290" s="837">
        <f>IF(Indicadores[[#This Row],[Ventas]]=0,0,Indicadores[[#This Row],[EBITDA]]/Indicadores[[#This Row],[Ventas]])</f>
        <v>3.7828765855773043E-2</v>
      </c>
      <c r="P1290" s="837">
        <f>IF(Indicadores[[#This Row],[Ventas]]=0,0,Indicadores[[#This Row],[UAI]]/Indicadores[[#This Row],[Ventas]])</f>
        <v>4.8464054704135028E-2</v>
      </c>
      <c r="Q1290" s="837">
        <f>IFERROR(Indicadores[[#This Row],[Ventas]]/Indicadores[[#This Row],[Activos totales]],0)</f>
        <v>1.7397726873597741</v>
      </c>
    </row>
    <row r="1291" spans="1:17" hidden="1" x14ac:dyDescent="0.3">
      <c r="A1291" s="13" t="str">
        <f>MID(Indicadores[[#This Row],[CIIU]],2,4)</f>
        <v>0164</v>
      </c>
      <c r="B1291" s="13" t="str">
        <f>Indicadores[[#This Row],[CIIU]]&amp;Indicadores[[#This Row],[Año]]</f>
        <v>A01642019</v>
      </c>
      <c r="C1291" s="845" t="s">
        <v>2108</v>
      </c>
      <c r="D1291" s="845" t="s">
        <v>2109</v>
      </c>
      <c r="E1291" s="843">
        <v>2019</v>
      </c>
      <c r="F1291" s="844" t="s">
        <v>2196</v>
      </c>
      <c r="G1291" s="842" t="s">
        <v>2197</v>
      </c>
      <c r="H1291" s="843" t="s">
        <v>2198</v>
      </c>
      <c r="I1291" s="842" t="s">
        <v>2199</v>
      </c>
      <c r="J1291" s="840">
        <v>2276206</v>
      </c>
      <c r="K1291" s="840">
        <v>2437070</v>
      </c>
      <c r="L1291" s="841">
        <v>24333295</v>
      </c>
      <c r="M1291" s="840">
        <v>26636855</v>
      </c>
      <c r="N1291" s="839">
        <f>Indicadores[[#This Row],[Ventas]]/Indicadores[[#This Row],[Activos totales]]</f>
        <v>1.0946669984480113</v>
      </c>
      <c r="O1291" s="837">
        <f>IF(Indicadores[[#This Row],[Ventas]]=0,0,Indicadores[[#This Row],[EBITDA]]/Indicadores[[#This Row],[Ventas]])</f>
        <v>9.1492407793637806E-2</v>
      </c>
      <c r="P1291" s="837">
        <f>IF(Indicadores[[#This Row],[Ventas]]=0,0,Indicadores[[#This Row],[UAI]]/Indicadores[[#This Row],[Ventas]])</f>
        <v>8.5453256399826483E-2</v>
      </c>
      <c r="Q1291" s="837">
        <f>IFERROR(Indicadores[[#This Row],[Ventas]]/Indicadores[[#This Row],[Activos totales]],0)</f>
        <v>1.0946669984480113</v>
      </c>
    </row>
    <row r="1292" spans="1:17" hidden="1" x14ac:dyDescent="0.3">
      <c r="A1292" s="13" t="str">
        <f>MID(Indicadores[[#This Row],[CIIU]],2,4)</f>
        <v>0210</v>
      </c>
      <c r="B1292" s="13" t="str">
        <f>Indicadores[[#This Row],[CIIU]]&amp;Indicadores[[#This Row],[Año]]</f>
        <v>A02102019</v>
      </c>
      <c r="C1292" s="845" t="s">
        <v>2108</v>
      </c>
      <c r="D1292" s="845" t="s">
        <v>2200</v>
      </c>
      <c r="E1292" s="843">
        <v>2019</v>
      </c>
      <c r="F1292" s="844" t="s">
        <v>2201</v>
      </c>
      <c r="G1292" s="842" t="s">
        <v>2202</v>
      </c>
      <c r="H1292" s="843" t="s">
        <v>2203</v>
      </c>
      <c r="I1292" s="842" t="s">
        <v>2202</v>
      </c>
      <c r="J1292" s="840">
        <v>49181391</v>
      </c>
      <c r="K1292" s="840">
        <v>91216152</v>
      </c>
      <c r="L1292" s="841">
        <v>3021467283</v>
      </c>
      <c r="M1292" s="840">
        <v>251707579</v>
      </c>
      <c r="N1292" s="839">
        <f>Indicadores[[#This Row],[Ventas]]/Indicadores[[#This Row],[Activos totales]]</f>
        <v>8.3306405605054507E-2</v>
      </c>
      <c r="O1292" s="837">
        <f>IF(Indicadores[[#This Row],[Ventas]]=0,0,Indicadores[[#This Row],[EBITDA]]/Indicadores[[#This Row],[Ventas]])</f>
        <v>0.36238937406012711</v>
      </c>
      <c r="P1292" s="837">
        <f>IF(Indicadores[[#This Row],[Ventas]]=0,0,Indicadores[[#This Row],[UAI]]/Indicadores[[#This Row],[Ventas]])</f>
        <v>0.19539098185041143</v>
      </c>
      <c r="Q1292" s="837">
        <f>IFERROR(Indicadores[[#This Row],[Ventas]]/Indicadores[[#This Row],[Activos totales]],0)</f>
        <v>8.3306405605054507E-2</v>
      </c>
    </row>
    <row r="1293" spans="1:17" hidden="1" x14ac:dyDescent="0.3">
      <c r="A1293" s="13" t="str">
        <f>MID(Indicadores[[#This Row],[CIIU]],2,4)</f>
        <v>0220</v>
      </c>
      <c r="B1293" s="13" t="str">
        <f>Indicadores[[#This Row],[CIIU]]&amp;Indicadores[[#This Row],[Año]]</f>
        <v>A02202019</v>
      </c>
      <c r="C1293" s="845" t="s">
        <v>2108</v>
      </c>
      <c r="D1293" s="845" t="s">
        <v>2200</v>
      </c>
      <c r="E1293" s="843">
        <v>2019</v>
      </c>
      <c r="F1293" s="844" t="s">
        <v>2204</v>
      </c>
      <c r="G1293" s="842" t="s">
        <v>2205</v>
      </c>
      <c r="H1293" s="843" t="s">
        <v>2206</v>
      </c>
      <c r="I1293" s="842" t="s">
        <v>2207</v>
      </c>
      <c r="J1293" s="840">
        <v>71455281</v>
      </c>
      <c r="K1293" s="840">
        <v>72880821</v>
      </c>
      <c r="L1293" s="841">
        <v>384883497</v>
      </c>
      <c r="M1293" s="840">
        <v>22817888</v>
      </c>
      <c r="N1293" s="839">
        <f>Indicadores[[#This Row],[Ventas]]/Indicadores[[#This Row],[Activos totales]]</f>
        <v>5.9285181562357299E-2</v>
      </c>
      <c r="O1293" s="837">
        <f>IF(Indicadores[[#This Row],[Ventas]]=0,0,Indicadores[[#This Row],[EBITDA]]/Indicadores[[#This Row],[Ventas]])</f>
        <v>3.1940213309838317</v>
      </c>
      <c r="P1293" s="837">
        <f>IF(Indicadores[[#This Row],[Ventas]]=0,0,Indicadores[[#This Row],[UAI]]/Indicadores[[#This Row],[Ventas]])</f>
        <v>3.1315466619872971</v>
      </c>
      <c r="Q1293" s="837">
        <f>IFERROR(Indicadores[[#This Row],[Ventas]]/Indicadores[[#This Row],[Activos totales]],0)</f>
        <v>5.9285181562357299E-2</v>
      </c>
    </row>
    <row r="1294" spans="1:17" hidden="1" x14ac:dyDescent="0.3">
      <c r="A1294" s="13" t="str">
        <f>MID(Indicadores[[#This Row],[CIIU]],2,4)</f>
        <v>0230</v>
      </c>
      <c r="B1294" s="13" t="str">
        <f>Indicadores[[#This Row],[CIIU]]&amp;Indicadores[[#This Row],[Año]]</f>
        <v>A02302019</v>
      </c>
      <c r="C1294" s="845" t="s">
        <v>2108</v>
      </c>
      <c r="D1294" s="845" t="s">
        <v>2200</v>
      </c>
      <c r="E1294" s="843">
        <v>2019</v>
      </c>
      <c r="F1294" s="844" t="s">
        <v>3543</v>
      </c>
      <c r="G1294" s="842" t="s">
        <v>3544</v>
      </c>
      <c r="H1294" s="843" t="s">
        <v>3545</v>
      </c>
      <c r="I1294" s="842" t="s">
        <v>3544</v>
      </c>
      <c r="J1294" s="840">
        <v>446674</v>
      </c>
      <c r="K1294" s="840">
        <v>446674</v>
      </c>
      <c r="L1294" s="841">
        <v>18624929</v>
      </c>
      <c r="M1294" s="840">
        <v>991146</v>
      </c>
      <c r="N1294" s="839">
        <f>Indicadores[[#This Row],[Ventas]]/Indicadores[[#This Row],[Activos totales]]</f>
        <v>5.3216095481491497E-2</v>
      </c>
      <c r="O1294" s="837">
        <f>IF(Indicadores[[#This Row],[Ventas]]=0,0,Indicadores[[#This Row],[EBITDA]]/Indicadores[[#This Row],[Ventas]])</f>
        <v>0.45066418065552399</v>
      </c>
      <c r="P1294" s="837">
        <f>IF(Indicadores[[#This Row],[Ventas]]=0,0,Indicadores[[#This Row],[UAI]]/Indicadores[[#This Row],[Ventas]])</f>
        <v>0.45066418065552399</v>
      </c>
      <c r="Q1294" s="837">
        <f>IFERROR(Indicadores[[#This Row],[Ventas]]/Indicadores[[#This Row],[Activos totales]],0)</f>
        <v>5.3216095481491497E-2</v>
      </c>
    </row>
    <row r="1295" spans="1:17" hidden="1" x14ac:dyDescent="0.3">
      <c r="A1295" s="13" t="str">
        <f>MID(Indicadores[[#This Row],[CIIU]],2,4)</f>
        <v>0240</v>
      </c>
      <c r="B1295" s="13" t="str">
        <f>Indicadores[[#This Row],[CIIU]]&amp;Indicadores[[#This Row],[Año]]</f>
        <v>A02402019</v>
      </c>
      <c r="C1295" s="845" t="s">
        <v>2108</v>
      </c>
      <c r="D1295" s="845" t="s">
        <v>2200</v>
      </c>
      <c r="E1295" s="843">
        <v>2019</v>
      </c>
      <c r="F1295" s="844" t="s">
        <v>2208</v>
      </c>
      <c r="G1295" s="842" t="s">
        <v>2209</v>
      </c>
      <c r="H1295" s="843" t="s">
        <v>2210</v>
      </c>
      <c r="I1295" s="842" t="s">
        <v>2211</v>
      </c>
      <c r="J1295" s="840">
        <v>4644521</v>
      </c>
      <c r="K1295" s="840">
        <v>5065474</v>
      </c>
      <c r="L1295" s="841">
        <v>40028558</v>
      </c>
      <c r="M1295" s="840">
        <v>21688786</v>
      </c>
      <c r="N1295" s="839">
        <f>Indicadores[[#This Row],[Ventas]]/Indicadores[[#This Row],[Activos totales]]</f>
        <v>0.54183280846639537</v>
      </c>
      <c r="O1295" s="837">
        <f>IF(Indicadores[[#This Row],[Ventas]]=0,0,Indicadores[[#This Row],[EBITDA]]/Indicadores[[#This Row],[Ventas]])</f>
        <v>0.2335526755623851</v>
      </c>
      <c r="P1295" s="837">
        <f>IF(Indicadores[[#This Row],[Ventas]]=0,0,Indicadores[[#This Row],[UAI]]/Indicadores[[#This Row],[Ventas]])</f>
        <v>0.21414388984242824</v>
      </c>
      <c r="Q1295" s="837">
        <f>IFERROR(Indicadores[[#This Row],[Ventas]]/Indicadores[[#This Row],[Activos totales]],0)</f>
        <v>0.54183280846639537</v>
      </c>
    </row>
    <row r="1296" spans="1:17" hidden="1" x14ac:dyDescent="0.3">
      <c r="A1296" s="13" t="str">
        <f>MID(Indicadores[[#This Row],[CIIU]],2,4)</f>
        <v>0311</v>
      </c>
      <c r="B1296" s="13" t="str">
        <f>Indicadores[[#This Row],[CIIU]]&amp;Indicadores[[#This Row],[Año]]</f>
        <v>A03112019</v>
      </c>
      <c r="C1296" s="845" t="s">
        <v>2108</v>
      </c>
      <c r="D1296" s="845" t="s">
        <v>2212</v>
      </c>
      <c r="E1296" s="843">
        <v>2019</v>
      </c>
      <c r="F1296" s="844" t="s">
        <v>2213</v>
      </c>
      <c r="G1296" s="842" t="s">
        <v>2214</v>
      </c>
      <c r="H1296" s="843" t="s">
        <v>2215</v>
      </c>
      <c r="I1296" s="842" t="s">
        <v>2216</v>
      </c>
      <c r="J1296" s="840">
        <v>3690438</v>
      </c>
      <c r="K1296" s="840">
        <v>4311023</v>
      </c>
      <c r="L1296" s="841">
        <v>58469239</v>
      </c>
      <c r="M1296" s="840">
        <v>100426313</v>
      </c>
      <c r="N1296" s="839">
        <f>Indicadores[[#This Row],[Ventas]]/Indicadores[[#This Row],[Activos totales]]</f>
        <v>1.7175922710401619</v>
      </c>
      <c r="O1296" s="837">
        <f>IF(Indicadores[[#This Row],[Ventas]]=0,0,Indicadores[[#This Row],[EBITDA]]/Indicadores[[#This Row],[Ventas]])</f>
        <v>4.2927225656487059E-2</v>
      </c>
      <c r="P1296" s="837">
        <f>IF(Indicadores[[#This Row],[Ventas]]=0,0,Indicadores[[#This Row],[UAI]]/Indicadores[[#This Row],[Ventas]])</f>
        <v>3.674771969374202E-2</v>
      </c>
      <c r="Q1296" s="837">
        <f>IFERROR(Indicadores[[#This Row],[Ventas]]/Indicadores[[#This Row],[Activos totales]],0)</f>
        <v>1.7175922710401619</v>
      </c>
    </row>
    <row r="1297" spans="1:17" hidden="1" x14ac:dyDescent="0.3">
      <c r="A1297" s="13" t="str">
        <f>MID(Indicadores[[#This Row],[CIIU]],2,4)</f>
        <v>0312</v>
      </c>
      <c r="B1297" s="13" t="str">
        <f>Indicadores[[#This Row],[CIIU]]&amp;Indicadores[[#This Row],[Año]]</f>
        <v>A03122019</v>
      </c>
      <c r="C1297" s="845" t="s">
        <v>2108</v>
      </c>
      <c r="D1297" s="845" t="s">
        <v>2212</v>
      </c>
      <c r="E1297" s="843">
        <v>2019</v>
      </c>
      <c r="F1297" s="844" t="s">
        <v>2217</v>
      </c>
      <c r="G1297" s="842" t="s">
        <v>2218</v>
      </c>
      <c r="H1297" s="843" t="s">
        <v>2219</v>
      </c>
      <c r="I1297" s="842" t="s">
        <v>2220</v>
      </c>
      <c r="J1297" s="840">
        <v>3899587</v>
      </c>
      <c r="K1297" s="840">
        <v>5154489</v>
      </c>
      <c r="L1297" s="841">
        <v>61301565</v>
      </c>
      <c r="M1297" s="840">
        <v>73352930</v>
      </c>
      <c r="N1297" s="839">
        <f>Indicadores[[#This Row],[Ventas]]/Indicadores[[#This Row],[Activos totales]]</f>
        <v>1.1965914736434542</v>
      </c>
      <c r="O1297" s="837">
        <f>IF(Indicadores[[#This Row],[Ventas]]=0,0,Indicadores[[#This Row],[EBITDA]]/Indicadores[[#This Row],[Ventas]])</f>
        <v>7.0269708381110338E-2</v>
      </c>
      <c r="P1297" s="837">
        <f>IF(Indicadores[[#This Row],[Ventas]]=0,0,Indicadores[[#This Row],[UAI]]/Indicadores[[#This Row],[Ventas]])</f>
        <v>5.3161980032699445E-2</v>
      </c>
      <c r="Q1297" s="837">
        <f>IFERROR(Indicadores[[#This Row],[Ventas]]/Indicadores[[#This Row],[Activos totales]],0)</f>
        <v>1.1965914736434542</v>
      </c>
    </row>
    <row r="1298" spans="1:17" hidden="1" x14ac:dyDescent="0.3">
      <c r="A1298" s="13" t="str">
        <f>MID(Indicadores[[#This Row],[CIIU]],2,4)</f>
        <v>0321</v>
      </c>
      <c r="B1298" s="13" t="str">
        <f>Indicadores[[#This Row],[CIIU]]&amp;Indicadores[[#This Row],[Año]]</f>
        <v>A03212019</v>
      </c>
      <c r="C1298" s="845" t="s">
        <v>2108</v>
      </c>
      <c r="D1298" s="845" t="s">
        <v>2212</v>
      </c>
      <c r="E1298" s="843">
        <v>2019</v>
      </c>
      <c r="F1298" s="844" t="s">
        <v>2221</v>
      </c>
      <c r="G1298" s="842" t="s">
        <v>2222</v>
      </c>
      <c r="H1298" s="843" t="s">
        <v>2223</v>
      </c>
      <c r="I1298" s="842" t="s">
        <v>2224</v>
      </c>
      <c r="J1298" s="840">
        <v>-10735004</v>
      </c>
      <c r="K1298" s="840">
        <v>-2595871</v>
      </c>
      <c r="L1298" s="841">
        <v>167389073</v>
      </c>
      <c r="M1298" s="840">
        <v>95134192</v>
      </c>
      <c r="N1298" s="839">
        <f>Indicadores[[#This Row],[Ventas]]/Indicadores[[#This Row],[Activos totales]]</f>
        <v>0.56834171009478018</v>
      </c>
      <c r="O1298" s="837">
        <f>IF(Indicadores[[#This Row],[Ventas]]=0,0,Indicadores[[#This Row],[EBITDA]]/Indicadores[[#This Row],[Ventas]])</f>
        <v>-2.7286414541682343E-2</v>
      </c>
      <c r="P1298" s="837">
        <f>IF(Indicadores[[#This Row],[Ventas]]=0,0,Indicadores[[#This Row],[UAI]]/Indicadores[[#This Row],[Ventas]])</f>
        <v>-0.11284064934298281</v>
      </c>
      <c r="Q1298" s="837">
        <f>IFERROR(Indicadores[[#This Row],[Ventas]]/Indicadores[[#This Row],[Activos totales]],0)</f>
        <v>0.56834171009478018</v>
      </c>
    </row>
    <row r="1299" spans="1:17" hidden="1" x14ac:dyDescent="0.3">
      <c r="A1299" s="13" t="str">
        <f>MID(Indicadores[[#This Row],[CIIU]],2,4)</f>
        <v>0322</v>
      </c>
      <c r="B1299" s="13" t="str">
        <f>Indicadores[[#This Row],[CIIU]]&amp;Indicadores[[#This Row],[Año]]</f>
        <v>A03222019</v>
      </c>
      <c r="C1299" s="845" t="s">
        <v>2108</v>
      </c>
      <c r="D1299" s="845" t="s">
        <v>2212</v>
      </c>
      <c r="E1299" s="843">
        <v>2019</v>
      </c>
      <c r="F1299" s="844" t="s">
        <v>2225</v>
      </c>
      <c r="G1299" s="842" t="s">
        <v>2226</v>
      </c>
      <c r="H1299" s="843" t="s">
        <v>2227</v>
      </c>
      <c r="I1299" s="842" t="s">
        <v>2226</v>
      </c>
      <c r="J1299" s="840">
        <v>8685273</v>
      </c>
      <c r="K1299" s="840">
        <v>12701924</v>
      </c>
      <c r="L1299" s="841">
        <v>223816802</v>
      </c>
      <c r="M1299" s="840">
        <v>269452530</v>
      </c>
      <c r="N1299" s="839">
        <f>Indicadores[[#This Row],[Ventas]]/Indicadores[[#This Row],[Activos totales]]</f>
        <v>1.2038976859297632</v>
      </c>
      <c r="O1299" s="837">
        <f>IF(Indicadores[[#This Row],[Ventas]]=0,0,Indicadores[[#This Row],[EBITDA]]/Indicadores[[#This Row],[Ventas]])</f>
        <v>4.7139746655932312E-2</v>
      </c>
      <c r="P1299" s="837">
        <f>IF(Indicadores[[#This Row],[Ventas]]=0,0,Indicadores[[#This Row],[UAI]]/Indicadores[[#This Row],[Ventas]])</f>
        <v>3.2233035629689578E-2</v>
      </c>
      <c r="Q1299" s="837">
        <f>IFERROR(Indicadores[[#This Row],[Ventas]]/Indicadores[[#This Row],[Activos totales]],0)</f>
        <v>1.2038976859297632</v>
      </c>
    </row>
    <row r="1300" spans="1:17" hidden="1" x14ac:dyDescent="0.3">
      <c r="A1300" s="13" t="str">
        <f>MID(Indicadores[[#This Row],[CIIU]],2,4)</f>
        <v>0510</v>
      </c>
      <c r="B1300" s="13" t="str">
        <f>Indicadores[[#This Row],[CIIU]]&amp;Indicadores[[#This Row],[Año]]</f>
        <v>B05102019</v>
      </c>
      <c r="C1300" s="845" t="s">
        <v>2228</v>
      </c>
      <c r="D1300" s="845" t="s">
        <v>2229</v>
      </c>
      <c r="E1300" s="843">
        <v>2019</v>
      </c>
      <c r="F1300" s="844" t="s">
        <v>2230</v>
      </c>
      <c r="G1300" s="842" t="s">
        <v>2231</v>
      </c>
      <c r="H1300" s="843" t="s">
        <v>2232</v>
      </c>
      <c r="I1300" s="842" t="s">
        <v>2231</v>
      </c>
      <c r="J1300" s="840">
        <v>-2284223436</v>
      </c>
      <c r="K1300" s="840">
        <v>9977450</v>
      </c>
      <c r="L1300" s="841">
        <v>26626101679</v>
      </c>
      <c r="M1300" s="840">
        <v>16651996758</v>
      </c>
      <c r="N1300" s="839">
        <f>Indicadores[[#This Row],[Ventas]]/Indicadores[[#This Row],[Activos totales]]</f>
        <v>0.62540123067033226</v>
      </c>
      <c r="O1300" s="837">
        <f>IF(Indicadores[[#This Row],[Ventas]]=0,0,Indicadores[[#This Row],[EBITDA]]/Indicadores[[#This Row],[Ventas]])</f>
        <v>5.9917439001461517E-4</v>
      </c>
      <c r="P1300" s="837">
        <f>IF(Indicadores[[#This Row],[Ventas]]=0,0,Indicadores[[#This Row],[UAI]]/Indicadores[[#This Row],[Ventas]])</f>
        <v>-0.13717414609167558</v>
      </c>
      <c r="Q1300" s="837">
        <f>IFERROR(Indicadores[[#This Row],[Ventas]]/Indicadores[[#This Row],[Activos totales]],0)</f>
        <v>0.62540123067033226</v>
      </c>
    </row>
    <row r="1301" spans="1:17" hidden="1" x14ac:dyDescent="0.3">
      <c r="A1301" s="13" t="str">
        <f>MID(Indicadores[[#This Row],[CIIU]],2,4)</f>
        <v>0520</v>
      </c>
      <c r="B1301" s="13" t="str">
        <f>Indicadores[[#This Row],[CIIU]]&amp;Indicadores[[#This Row],[Año]]</f>
        <v>B05202019</v>
      </c>
      <c r="C1301" s="845" t="s">
        <v>2228</v>
      </c>
      <c r="D1301" s="845" t="s">
        <v>2229</v>
      </c>
      <c r="E1301" s="843">
        <v>2019</v>
      </c>
      <c r="F1301" s="844" t="s">
        <v>2233</v>
      </c>
      <c r="G1301" s="842" t="s">
        <v>2234</v>
      </c>
      <c r="H1301" s="843" t="s">
        <v>2235</v>
      </c>
      <c r="I1301" s="842" t="s">
        <v>2234</v>
      </c>
      <c r="J1301" s="840">
        <v>119799</v>
      </c>
      <c r="K1301" s="840">
        <v>119799</v>
      </c>
      <c r="L1301" s="841">
        <v>3414437</v>
      </c>
      <c r="M1301" s="840">
        <v>1578393</v>
      </c>
      <c r="N1301" s="839">
        <f>Indicadores[[#This Row],[Ventas]]/Indicadores[[#This Row],[Activos totales]]</f>
        <v>0.46227035379478376</v>
      </c>
      <c r="O1301" s="837">
        <f>IF(Indicadores[[#This Row],[Ventas]]=0,0,Indicadores[[#This Row],[EBITDA]]/Indicadores[[#This Row],[Ventas]])</f>
        <v>7.5899348261174504E-2</v>
      </c>
      <c r="P1301" s="837">
        <f>IF(Indicadores[[#This Row],[Ventas]]=0,0,Indicadores[[#This Row],[UAI]]/Indicadores[[#This Row],[Ventas]])</f>
        <v>7.5899348261174504E-2</v>
      </c>
      <c r="Q1301" s="837">
        <f>IFERROR(Indicadores[[#This Row],[Ventas]]/Indicadores[[#This Row],[Activos totales]],0)</f>
        <v>0.46227035379478376</v>
      </c>
    </row>
    <row r="1302" spans="1:17" hidden="1" x14ac:dyDescent="0.3">
      <c r="A1302" s="13" t="str">
        <f>MID(Indicadores[[#This Row],[CIIU]],2,4)</f>
        <v>0610</v>
      </c>
      <c r="B1302" s="13" t="str">
        <f>Indicadores[[#This Row],[CIIU]]&amp;Indicadores[[#This Row],[Año]]</f>
        <v>B06102019</v>
      </c>
      <c r="C1302" s="845" t="s">
        <v>2228</v>
      </c>
      <c r="D1302" s="845" t="s">
        <v>2236</v>
      </c>
      <c r="E1302" s="843">
        <v>2019</v>
      </c>
      <c r="F1302" s="844" t="s">
        <v>2237</v>
      </c>
      <c r="G1302" s="842" t="s">
        <v>2238</v>
      </c>
      <c r="H1302" s="843" t="s">
        <v>2239</v>
      </c>
      <c r="I1302" s="842" t="s">
        <v>2238</v>
      </c>
      <c r="J1302" s="840">
        <v>5570392652</v>
      </c>
      <c r="K1302" s="840">
        <v>11604011091</v>
      </c>
      <c r="L1302" s="841">
        <v>44541840885</v>
      </c>
      <c r="M1302" s="840">
        <v>22682858852</v>
      </c>
      <c r="N1302" s="839">
        <f>Indicadores[[#This Row],[Ventas]]/Indicadores[[#This Row],[Activos totales]]</f>
        <v>0.50924834720153489</v>
      </c>
      <c r="O1302" s="837">
        <f>IF(Indicadores[[#This Row],[Ventas]]=0,0,Indicadores[[#This Row],[EBITDA]]/Indicadores[[#This Row],[Ventas]])</f>
        <v>0.51157621562225819</v>
      </c>
      <c r="P1302" s="837">
        <f>IF(Indicadores[[#This Row],[Ventas]]=0,0,Indicadores[[#This Row],[UAI]]/Indicadores[[#This Row],[Ventas]])</f>
        <v>0.2455771862067927</v>
      </c>
      <c r="Q1302" s="837">
        <f>IFERROR(Indicadores[[#This Row],[Ventas]]/Indicadores[[#This Row],[Activos totales]],0)</f>
        <v>0.50924834720153489</v>
      </c>
    </row>
    <row r="1303" spans="1:17" hidden="1" x14ac:dyDescent="0.3">
      <c r="A1303" s="13" t="str">
        <f>MID(Indicadores[[#This Row],[CIIU]],2,4)</f>
        <v>0620</v>
      </c>
      <c r="B1303" s="13" t="str">
        <f>Indicadores[[#This Row],[CIIU]]&amp;Indicadores[[#This Row],[Año]]</f>
        <v>B06202019</v>
      </c>
      <c r="C1303" s="845" t="s">
        <v>2228</v>
      </c>
      <c r="D1303" s="845" t="s">
        <v>2236</v>
      </c>
      <c r="E1303" s="843">
        <v>2019</v>
      </c>
      <c r="F1303" s="844" t="s">
        <v>2240</v>
      </c>
      <c r="G1303" s="842" t="s">
        <v>2241</v>
      </c>
      <c r="H1303" s="843" t="s">
        <v>2242</v>
      </c>
      <c r="I1303" s="842" t="s">
        <v>2241</v>
      </c>
      <c r="J1303" s="840">
        <v>332032410</v>
      </c>
      <c r="K1303" s="840">
        <v>494410425</v>
      </c>
      <c r="L1303" s="841">
        <v>3507763041</v>
      </c>
      <c r="M1303" s="840">
        <v>797155763</v>
      </c>
      <c r="N1303" s="839">
        <f>Indicadores[[#This Row],[Ventas]]/Indicadores[[#This Row],[Activos totales]]</f>
        <v>0.22725473576252325</v>
      </c>
      <c r="O1303" s="837">
        <f>IF(Indicadores[[#This Row],[Ventas]]=0,0,Indicadores[[#This Row],[EBITDA]]/Indicadores[[#This Row],[Ventas]])</f>
        <v>0.62021809030062802</v>
      </c>
      <c r="P1303" s="837">
        <f>IF(Indicadores[[#This Row],[Ventas]]=0,0,Indicadores[[#This Row],[UAI]]/Indicadores[[#This Row],[Ventas]])</f>
        <v>0.41652136936253953</v>
      </c>
      <c r="Q1303" s="837">
        <f>IFERROR(Indicadores[[#This Row],[Ventas]]/Indicadores[[#This Row],[Activos totales]],0)</f>
        <v>0.22725473576252325</v>
      </c>
    </row>
    <row r="1304" spans="1:17" hidden="1" x14ac:dyDescent="0.3">
      <c r="A1304" s="13" t="str">
        <f>MID(Indicadores[[#This Row],[CIIU]],2,4)</f>
        <v>0710</v>
      </c>
      <c r="B1304" s="13" t="str">
        <f>Indicadores[[#This Row],[CIIU]]&amp;Indicadores[[#This Row],[Año]]</f>
        <v>B07102019</v>
      </c>
      <c r="C1304" s="845" t="s">
        <v>2228</v>
      </c>
      <c r="D1304" s="845" t="s">
        <v>2243</v>
      </c>
      <c r="E1304" s="843">
        <v>2019</v>
      </c>
      <c r="F1304" s="844" t="s">
        <v>2244</v>
      </c>
      <c r="G1304" s="842" t="s">
        <v>2245</v>
      </c>
      <c r="H1304" s="843" t="s">
        <v>2246</v>
      </c>
      <c r="I1304" s="842" t="s">
        <v>2245</v>
      </c>
      <c r="J1304" s="840">
        <v>-858208</v>
      </c>
      <c r="K1304" s="840">
        <v>-811753</v>
      </c>
      <c r="L1304" s="841">
        <v>12514303</v>
      </c>
      <c r="M1304" s="840">
        <v>15437</v>
      </c>
      <c r="N1304" s="839">
        <f>Indicadores[[#This Row],[Ventas]]/Indicadores[[#This Row],[Activos totales]]</f>
        <v>1.2335485244363989E-3</v>
      </c>
      <c r="O1304" s="837">
        <f>IF(Indicadores[[#This Row],[Ventas]]=0,0,Indicadores[[#This Row],[EBITDA]]/Indicadores[[#This Row],[Ventas]])</f>
        <v>-52.584893437844144</v>
      </c>
      <c r="P1304" s="837">
        <f>IF(Indicadores[[#This Row],[Ventas]]=0,0,Indicadores[[#This Row],[UAI]]/Indicadores[[#This Row],[Ventas]])</f>
        <v>-55.594221675195961</v>
      </c>
      <c r="Q1304" s="837">
        <f>IFERROR(Indicadores[[#This Row],[Ventas]]/Indicadores[[#This Row],[Activos totales]],0)</f>
        <v>1.2335485244363989E-3</v>
      </c>
    </row>
    <row r="1305" spans="1:17" hidden="1" x14ac:dyDescent="0.3">
      <c r="A1305" s="13" t="str">
        <f>MID(Indicadores[[#This Row],[CIIU]],2,4)</f>
        <v>0722</v>
      </c>
      <c r="B1305" s="13" t="str">
        <f>Indicadores[[#This Row],[CIIU]]&amp;Indicadores[[#This Row],[Año]]</f>
        <v>B07222019</v>
      </c>
      <c r="C1305" s="845" t="s">
        <v>2228</v>
      </c>
      <c r="D1305" s="845" t="s">
        <v>2243</v>
      </c>
      <c r="E1305" s="843">
        <v>2019</v>
      </c>
      <c r="F1305" s="844" t="s">
        <v>2247</v>
      </c>
      <c r="G1305" s="842" t="s">
        <v>2248</v>
      </c>
      <c r="H1305" s="843" t="s">
        <v>2249</v>
      </c>
      <c r="I1305" s="842" t="s">
        <v>2248</v>
      </c>
      <c r="J1305" s="840">
        <v>-171254290</v>
      </c>
      <c r="K1305" s="840">
        <v>-7237276</v>
      </c>
      <c r="L1305" s="841">
        <v>6554691679</v>
      </c>
      <c r="M1305" s="840">
        <v>1455342536</v>
      </c>
      <c r="N1305" s="839">
        <f>Indicadores[[#This Row],[Ventas]]/Indicadores[[#This Row],[Activos totales]]</f>
        <v>0.22203066250433165</v>
      </c>
      <c r="O1305" s="837">
        <f>IF(Indicadores[[#This Row],[Ventas]]=0,0,Indicadores[[#This Row],[EBITDA]]/Indicadores[[#This Row],[Ventas]])</f>
        <v>-4.9729021319555519E-3</v>
      </c>
      <c r="P1305" s="837">
        <f>IF(Indicadores[[#This Row],[Ventas]]=0,0,Indicadores[[#This Row],[UAI]]/Indicadores[[#This Row],[Ventas]])</f>
        <v>-0.11767284042332148</v>
      </c>
      <c r="Q1305" s="837">
        <f>IFERROR(Indicadores[[#This Row],[Ventas]]/Indicadores[[#This Row],[Activos totales]],0)</f>
        <v>0.22203066250433165</v>
      </c>
    </row>
    <row r="1306" spans="1:17" hidden="1" x14ac:dyDescent="0.3">
      <c r="A1306" s="13" t="str">
        <f>MID(Indicadores[[#This Row],[CIIU]],2,4)</f>
        <v>0723</v>
      </c>
      <c r="B1306" s="13" t="str">
        <f>Indicadores[[#This Row],[CIIU]]&amp;Indicadores[[#This Row],[Año]]</f>
        <v>B07232019</v>
      </c>
      <c r="C1306" s="845" t="s">
        <v>2228</v>
      </c>
      <c r="D1306" s="845" t="s">
        <v>2243</v>
      </c>
      <c r="E1306" s="843">
        <v>2019</v>
      </c>
      <c r="F1306" s="844" t="s">
        <v>3546</v>
      </c>
      <c r="G1306" s="842" t="s">
        <v>3547</v>
      </c>
      <c r="H1306" s="843" t="s">
        <v>3548</v>
      </c>
      <c r="I1306" s="842" t="s">
        <v>3547</v>
      </c>
      <c r="J1306" s="840">
        <v>475090000</v>
      </c>
      <c r="K1306" s="840">
        <v>648479000</v>
      </c>
      <c r="L1306" s="841">
        <v>2137796000</v>
      </c>
      <c r="M1306" s="840">
        <v>1778265000</v>
      </c>
      <c r="N1306" s="839">
        <f>Indicadores[[#This Row],[Ventas]]/Indicadores[[#This Row],[Activos totales]]</f>
        <v>0.83182165183207379</v>
      </c>
      <c r="O1306" s="837">
        <f>IF(Indicadores[[#This Row],[Ventas]]=0,0,Indicadores[[#This Row],[EBITDA]]/Indicadores[[#This Row],[Ventas]])</f>
        <v>0.36466949526645354</v>
      </c>
      <c r="P1306" s="837">
        <f>IF(Indicadores[[#This Row],[Ventas]]=0,0,Indicadores[[#This Row],[UAI]]/Indicadores[[#This Row],[Ventas]])</f>
        <v>0.26716490511819102</v>
      </c>
      <c r="Q1306" s="837">
        <f>IFERROR(Indicadores[[#This Row],[Ventas]]/Indicadores[[#This Row],[Activos totales]],0)</f>
        <v>0.83182165183207379</v>
      </c>
    </row>
    <row r="1307" spans="1:17" hidden="1" x14ac:dyDescent="0.3">
      <c r="A1307" s="13" t="str">
        <f>MID(Indicadores[[#This Row],[CIIU]],2,4)</f>
        <v>0729</v>
      </c>
      <c r="B1307" s="13" t="str">
        <f>Indicadores[[#This Row],[CIIU]]&amp;Indicadores[[#This Row],[Año]]</f>
        <v>B07292019</v>
      </c>
      <c r="C1307" s="845" t="s">
        <v>2228</v>
      </c>
      <c r="D1307" s="845" t="s">
        <v>2243</v>
      </c>
      <c r="E1307" s="843">
        <v>2019</v>
      </c>
      <c r="F1307" s="844" t="s">
        <v>2250</v>
      </c>
      <c r="G1307" s="842" t="s">
        <v>2251</v>
      </c>
      <c r="H1307" s="843" t="s">
        <v>2252</v>
      </c>
      <c r="I1307" s="842" t="s">
        <v>2251</v>
      </c>
      <c r="J1307" s="840">
        <v>40660402</v>
      </c>
      <c r="K1307" s="840">
        <v>49345049</v>
      </c>
      <c r="L1307" s="841">
        <v>138462172</v>
      </c>
      <c r="M1307" s="840">
        <v>202325278</v>
      </c>
      <c r="N1307" s="839">
        <f>Indicadores[[#This Row],[Ventas]]/Indicadores[[#This Row],[Activos totales]]</f>
        <v>1.4612314329432878</v>
      </c>
      <c r="O1307" s="837">
        <f>IF(Indicadores[[#This Row],[Ventas]]=0,0,Indicadores[[#This Row],[EBITDA]]/Indicadores[[#This Row],[Ventas]])</f>
        <v>0.24388968836607752</v>
      </c>
      <c r="P1307" s="837">
        <f>IF(Indicadores[[#This Row],[Ventas]]=0,0,Indicadores[[#This Row],[UAI]]/Indicadores[[#This Row],[Ventas]])</f>
        <v>0.20096550664321836</v>
      </c>
      <c r="Q1307" s="837">
        <f>IFERROR(Indicadores[[#This Row],[Ventas]]/Indicadores[[#This Row],[Activos totales]],0)</f>
        <v>1.4612314329432878</v>
      </c>
    </row>
    <row r="1308" spans="1:17" hidden="1" x14ac:dyDescent="0.3">
      <c r="A1308" s="13" t="str">
        <f>MID(Indicadores[[#This Row],[CIIU]],2,4)</f>
        <v>0811</v>
      </c>
      <c r="B1308" s="13" t="str">
        <f>Indicadores[[#This Row],[CIIU]]&amp;Indicadores[[#This Row],[Año]]</f>
        <v>B08112019</v>
      </c>
      <c r="C1308" s="845" t="s">
        <v>2228</v>
      </c>
      <c r="D1308" s="845" t="s">
        <v>2253</v>
      </c>
      <c r="E1308" s="843">
        <v>2019</v>
      </c>
      <c r="F1308" s="844" t="s">
        <v>2254</v>
      </c>
      <c r="G1308" s="842" t="s">
        <v>2255</v>
      </c>
      <c r="H1308" s="843" t="s">
        <v>2256</v>
      </c>
      <c r="I1308" s="842" t="s">
        <v>2255</v>
      </c>
      <c r="J1308" s="840">
        <v>52242916</v>
      </c>
      <c r="K1308" s="840">
        <v>79605181</v>
      </c>
      <c r="L1308" s="841">
        <v>1082290074</v>
      </c>
      <c r="M1308" s="840">
        <v>576333197</v>
      </c>
      <c r="N1308" s="839">
        <f>Indicadores[[#This Row],[Ventas]]/Indicadores[[#This Row],[Activos totales]]</f>
        <v>0.53251268846063537</v>
      </c>
      <c r="O1308" s="837">
        <f>IF(Indicadores[[#This Row],[Ventas]]=0,0,Indicadores[[#This Row],[EBITDA]]/Indicadores[[#This Row],[Ventas]])</f>
        <v>0.13812353932477014</v>
      </c>
      <c r="P1308" s="837">
        <f>IF(Indicadores[[#This Row],[Ventas]]=0,0,Indicadores[[#This Row],[UAI]]/Indicadores[[#This Row],[Ventas]])</f>
        <v>9.064707060419426E-2</v>
      </c>
      <c r="Q1308" s="837">
        <f>IFERROR(Indicadores[[#This Row],[Ventas]]/Indicadores[[#This Row],[Activos totales]],0)</f>
        <v>0.53251268846063537</v>
      </c>
    </row>
    <row r="1309" spans="1:17" hidden="1" x14ac:dyDescent="0.3">
      <c r="A1309" s="13" t="str">
        <f>MID(Indicadores[[#This Row],[CIIU]],2,4)</f>
        <v>0812</v>
      </c>
      <c r="B1309" s="13" t="str">
        <f>Indicadores[[#This Row],[CIIU]]&amp;Indicadores[[#This Row],[Año]]</f>
        <v>B08122019</v>
      </c>
      <c r="C1309" s="845" t="s">
        <v>2228</v>
      </c>
      <c r="D1309" s="845" t="s">
        <v>2253</v>
      </c>
      <c r="E1309" s="843">
        <v>2019</v>
      </c>
      <c r="F1309" s="844" t="s">
        <v>2257</v>
      </c>
      <c r="G1309" s="842" t="s">
        <v>2258</v>
      </c>
      <c r="H1309" s="843" t="s">
        <v>2259</v>
      </c>
      <c r="I1309" s="842" t="s">
        <v>2258</v>
      </c>
      <c r="J1309" s="840">
        <v>-11168170</v>
      </c>
      <c r="K1309" s="840">
        <v>-6886467</v>
      </c>
      <c r="L1309" s="841">
        <v>563945616</v>
      </c>
      <c r="M1309" s="840">
        <v>55758860</v>
      </c>
      <c r="N1309" s="839">
        <f>Indicadores[[#This Row],[Ventas]]/Indicadores[[#This Row],[Activos totales]]</f>
        <v>9.8872760808907501E-2</v>
      </c>
      <c r="O1309" s="837">
        <f>IF(Indicadores[[#This Row],[Ventas]]=0,0,Indicadores[[#This Row],[EBITDA]]/Indicadores[[#This Row],[Ventas]])</f>
        <v>-0.12350444395742667</v>
      </c>
      <c r="P1309" s="837">
        <f>IF(Indicadores[[#This Row],[Ventas]]=0,0,Indicadores[[#This Row],[UAI]]/Indicadores[[#This Row],[Ventas]])</f>
        <v>-0.20029408779160837</v>
      </c>
      <c r="Q1309" s="837">
        <f>IFERROR(Indicadores[[#This Row],[Ventas]]/Indicadores[[#This Row],[Activos totales]],0)</f>
        <v>9.8872760808907501E-2</v>
      </c>
    </row>
    <row r="1310" spans="1:17" hidden="1" x14ac:dyDescent="0.3">
      <c r="A1310" s="13" t="str">
        <f>MID(Indicadores[[#This Row],[CIIU]],2,4)</f>
        <v>0820</v>
      </c>
      <c r="B1310" s="13" t="str">
        <f>Indicadores[[#This Row],[CIIU]]&amp;Indicadores[[#This Row],[Año]]</f>
        <v>B08202019</v>
      </c>
      <c r="C1310" s="845" t="s">
        <v>2228</v>
      </c>
      <c r="D1310" s="845" t="s">
        <v>2253</v>
      </c>
      <c r="E1310" s="843">
        <v>2019</v>
      </c>
      <c r="F1310" s="844" t="s">
        <v>2260</v>
      </c>
      <c r="G1310" s="842" t="s">
        <v>2261</v>
      </c>
      <c r="H1310" s="843" t="s">
        <v>2262</v>
      </c>
      <c r="I1310" s="842" t="s">
        <v>2261</v>
      </c>
      <c r="J1310" s="840">
        <v>-46707796</v>
      </c>
      <c r="K1310" s="840">
        <v>-44319945</v>
      </c>
      <c r="L1310" s="841">
        <v>253449554</v>
      </c>
      <c r="M1310" s="840">
        <v>89334586</v>
      </c>
      <c r="N1310" s="839">
        <f>Indicadores[[#This Row],[Ventas]]/Indicadores[[#This Row],[Activos totales]]</f>
        <v>0.35247482029500832</v>
      </c>
      <c r="O1310" s="837">
        <f>IF(Indicadores[[#This Row],[Ventas]]=0,0,Indicadores[[#This Row],[EBITDA]]/Indicadores[[#This Row],[Ventas]])</f>
        <v>-0.49611183064082259</v>
      </c>
      <c r="P1310" s="837">
        <f>IF(Indicadores[[#This Row],[Ventas]]=0,0,Indicadores[[#This Row],[UAI]]/Indicadores[[#This Row],[Ventas]])</f>
        <v>-0.52284113120533182</v>
      </c>
      <c r="Q1310" s="837">
        <f>IFERROR(Indicadores[[#This Row],[Ventas]]/Indicadores[[#This Row],[Activos totales]],0)</f>
        <v>0.35247482029500832</v>
      </c>
    </row>
    <row r="1311" spans="1:17" hidden="1" x14ac:dyDescent="0.3">
      <c r="A1311" s="13" t="str">
        <f>MID(Indicadores[[#This Row],[CIIU]],2,4)</f>
        <v>0891</v>
      </c>
      <c r="B1311" s="13" t="str">
        <f>Indicadores[[#This Row],[CIIU]]&amp;Indicadores[[#This Row],[Año]]</f>
        <v>B08912019</v>
      </c>
      <c r="C1311" s="845" t="s">
        <v>2228</v>
      </c>
      <c r="D1311" s="845" t="s">
        <v>2253</v>
      </c>
      <c r="E1311" s="843">
        <v>2019</v>
      </c>
      <c r="F1311" s="844" t="s">
        <v>2263</v>
      </c>
      <c r="G1311" s="842" t="s">
        <v>2264</v>
      </c>
      <c r="H1311" s="843" t="s">
        <v>2265</v>
      </c>
      <c r="I1311" s="842" t="s">
        <v>2264</v>
      </c>
      <c r="J1311" s="840">
        <v>-4690</v>
      </c>
      <c r="K1311" s="840">
        <v>628283</v>
      </c>
      <c r="L1311" s="841">
        <v>34749492</v>
      </c>
      <c r="M1311" s="840">
        <v>9141543</v>
      </c>
      <c r="N1311" s="839">
        <f>Indicadores[[#This Row],[Ventas]]/Indicadores[[#This Row],[Activos totales]]</f>
        <v>0.26306983135177919</v>
      </c>
      <c r="O1311" s="837">
        <f>IF(Indicadores[[#This Row],[Ventas]]=0,0,Indicadores[[#This Row],[EBITDA]]/Indicadores[[#This Row],[Ventas]])</f>
        <v>6.8728331748808713E-2</v>
      </c>
      <c r="P1311" s="837">
        <f>IF(Indicadores[[#This Row],[Ventas]]=0,0,Indicadores[[#This Row],[UAI]]/Indicadores[[#This Row],[Ventas]])</f>
        <v>-5.1304249184191335E-4</v>
      </c>
      <c r="Q1311" s="837">
        <f>IFERROR(Indicadores[[#This Row],[Ventas]]/Indicadores[[#This Row],[Activos totales]],0)</f>
        <v>0.26306983135177919</v>
      </c>
    </row>
    <row r="1312" spans="1:17" hidden="1" x14ac:dyDescent="0.3">
      <c r="A1312" s="13" t="str">
        <f>MID(Indicadores[[#This Row],[CIIU]],2,4)</f>
        <v>0892</v>
      </c>
      <c r="B1312" s="13" t="str">
        <f>Indicadores[[#This Row],[CIIU]]&amp;Indicadores[[#This Row],[Año]]</f>
        <v>B08922019</v>
      </c>
      <c r="C1312" s="845" t="s">
        <v>2228</v>
      </c>
      <c r="D1312" s="845" t="s">
        <v>2253</v>
      </c>
      <c r="E1312" s="843">
        <v>2019</v>
      </c>
      <c r="F1312" s="844" t="s">
        <v>2266</v>
      </c>
      <c r="G1312" s="842" t="s">
        <v>2267</v>
      </c>
      <c r="H1312" s="843" t="s">
        <v>2268</v>
      </c>
      <c r="I1312" s="842" t="s">
        <v>2267</v>
      </c>
      <c r="J1312" s="840">
        <v>-14814831</v>
      </c>
      <c r="K1312" s="840">
        <v>-11806410</v>
      </c>
      <c r="L1312" s="841">
        <v>150363391</v>
      </c>
      <c r="M1312" s="840">
        <v>23960756</v>
      </c>
      <c r="N1312" s="839">
        <f>Indicadores[[#This Row],[Ventas]]/Indicadores[[#This Row],[Activos totales]]</f>
        <v>0.15935232532764573</v>
      </c>
      <c r="O1312" s="837">
        <f>IF(Indicadores[[#This Row],[Ventas]]=0,0,Indicadores[[#This Row],[EBITDA]]/Indicadores[[#This Row],[Ventas]])</f>
        <v>-0.49273946114221107</v>
      </c>
      <c r="P1312" s="837">
        <f>IF(Indicadores[[#This Row],[Ventas]]=0,0,Indicadores[[#This Row],[UAI]]/Indicadores[[#This Row],[Ventas]])</f>
        <v>-0.6182956414230002</v>
      </c>
      <c r="Q1312" s="837">
        <f>IFERROR(Indicadores[[#This Row],[Ventas]]/Indicadores[[#This Row],[Activos totales]],0)</f>
        <v>0.15935232532764573</v>
      </c>
    </row>
    <row r="1313" spans="1:17" hidden="1" x14ac:dyDescent="0.3">
      <c r="A1313" s="13" t="str">
        <f>MID(Indicadores[[#This Row],[CIIU]],2,4)</f>
        <v>0899</v>
      </c>
      <c r="B1313" s="13" t="str">
        <f>Indicadores[[#This Row],[CIIU]]&amp;Indicadores[[#This Row],[Año]]</f>
        <v>B08992019</v>
      </c>
      <c r="C1313" s="845" t="s">
        <v>2228</v>
      </c>
      <c r="D1313" s="845" t="s">
        <v>2253</v>
      </c>
      <c r="E1313" s="843">
        <v>2019</v>
      </c>
      <c r="F1313" s="844" t="s">
        <v>2269</v>
      </c>
      <c r="G1313" s="842" t="s">
        <v>2270</v>
      </c>
      <c r="H1313" s="843" t="s">
        <v>2271</v>
      </c>
      <c r="I1313" s="842" t="s">
        <v>2270</v>
      </c>
      <c r="J1313" s="840">
        <v>5048464</v>
      </c>
      <c r="K1313" s="840">
        <v>6137687</v>
      </c>
      <c r="L1313" s="841">
        <v>82209985</v>
      </c>
      <c r="M1313" s="840">
        <v>57804793</v>
      </c>
      <c r="N1313" s="839">
        <f>Indicadores[[#This Row],[Ventas]]/Indicadores[[#This Row],[Activos totales]]</f>
        <v>0.70313591469454717</v>
      </c>
      <c r="O1313" s="837">
        <f>IF(Indicadores[[#This Row],[Ventas]]=0,0,Indicadores[[#This Row],[EBITDA]]/Indicadores[[#This Row],[Ventas]])</f>
        <v>0.10617955158147525</v>
      </c>
      <c r="P1313" s="837">
        <f>IF(Indicadores[[#This Row],[Ventas]]=0,0,Indicadores[[#This Row],[UAI]]/Indicadores[[#This Row],[Ventas]])</f>
        <v>8.7336425545196578E-2</v>
      </c>
      <c r="Q1313" s="837">
        <f>IFERROR(Indicadores[[#This Row],[Ventas]]/Indicadores[[#This Row],[Activos totales]],0)</f>
        <v>0.70313591469454717</v>
      </c>
    </row>
    <row r="1314" spans="1:17" hidden="1" x14ac:dyDescent="0.3">
      <c r="A1314" s="13" t="str">
        <f>MID(Indicadores[[#This Row],[CIIU]],2,4)</f>
        <v>0910</v>
      </c>
      <c r="B1314" s="13" t="str">
        <f>Indicadores[[#This Row],[CIIU]]&amp;Indicadores[[#This Row],[Año]]</f>
        <v>B09102019</v>
      </c>
      <c r="C1314" s="845" t="s">
        <v>2228</v>
      </c>
      <c r="D1314" s="845" t="s">
        <v>2272</v>
      </c>
      <c r="E1314" s="843">
        <v>2019</v>
      </c>
      <c r="F1314" s="844" t="s">
        <v>2273</v>
      </c>
      <c r="G1314" s="842" t="s">
        <v>2274</v>
      </c>
      <c r="H1314" s="843" t="s">
        <v>2275</v>
      </c>
      <c r="I1314" s="842" t="s">
        <v>2274</v>
      </c>
      <c r="J1314" s="840">
        <v>642261862</v>
      </c>
      <c r="K1314" s="840">
        <v>1300540661</v>
      </c>
      <c r="L1314" s="841">
        <v>11963772216</v>
      </c>
      <c r="M1314" s="840">
        <v>10234664806</v>
      </c>
      <c r="N1314" s="839">
        <f>Indicadores[[#This Row],[Ventas]]/Indicadores[[#This Row],[Activos totales]]</f>
        <v>0.85547138655084543</v>
      </c>
      <c r="O1314" s="837">
        <f>IF(Indicadores[[#This Row],[Ventas]]=0,0,Indicadores[[#This Row],[EBITDA]]/Indicadores[[#This Row],[Ventas]])</f>
        <v>0.12707213041677409</v>
      </c>
      <c r="P1314" s="837">
        <f>IF(Indicadores[[#This Row],[Ventas]]=0,0,Indicadores[[#This Row],[UAI]]/Indicadores[[#This Row],[Ventas]])</f>
        <v>6.2753580520143515E-2</v>
      </c>
      <c r="Q1314" s="837">
        <f>IFERROR(Indicadores[[#This Row],[Ventas]]/Indicadores[[#This Row],[Activos totales]],0)</f>
        <v>0.85547138655084543</v>
      </c>
    </row>
    <row r="1315" spans="1:17" hidden="1" x14ac:dyDescent="0.3">
      <c r="A1315" s="13" t="str">
        <f>MID(Indicadores[[#This Row],[CIIU]],2,4)</f>
        <v>0990</v>
      </c>
      <c r="B1315" s="13" t="str">
        <f>Indicadores[[#This Row],[CIIU]]&amp;Indicadores[[#This Row],[Año]]</f>
        <v>B09902019</v>
      </c>
      <c r="C1315" s="845" t="s">
        <v>2228</v>
      </c>
      <c r="D1315" s="845" t="s">
        <v>2272</v>
      </c>
      <c r="E1315" s="843">
        <v>2019</v>
      </c>
      <c r="F1315" s="844" t="s">
        <v>2276</v>
      </c>
      <c r="G1315" s="842" t="s">
        <v>2277</v>
      </c>
      <c r="H1315" s="843" t="s">
        <v>2278</v>
      </c>
      <c r="I1315" s="842" t="s">
        <v>2277</v>
      </c>
      <c r="J1315" s="840">
        <v>98474281</v>
      </c>
      <c r="K1315" s="840">
        <v>121449376</v>
      </c>
      <c r="L1315" s="841">
        <v>931623298</v>
      </c>
      <c r="M1315" s="840">
        <v>789056137</v>
      </c>
      <c r="N1315" s="839">
        <f>Indicadores[[#This Row],[Ventas]]/Indicadores[[#This Row],[Activos totales]]</f>
        <v>0.8469690900752892</v>
      </c>
      <c r="O1315" s="837">
        <f>IF(Indicadores[[#This Row],[Ventas]]=0,0,Indicadores[[#This Row],[EBITDA]]/Indicadores[[#This Row],[Ventas]])</f>
        <v>0.15391728206024965</v>
      </c>
      <c r="P1315" s="837">
        <f>IF(Indicadores[[#This Row],[Ventas]]=0,0,Indicadores[[#This Row],[UAI]]/Indicadores[[#This Row],[Ventas]])</f>
        <v>0.12480009518004674</v>
      </c>
      <c r="Q1315" s="837">
        <f>IFERROR(Indicadores[[#This Row],[Ventas]]/Indicadores[[#This Row],[Activos totales]],0)</f>
        <v>0.8469690900752892</v>
      </c>
    </row>
    <row r="1316" spans="1:17" x14ac:dyDescent="0.3">
      <c r="A1316" s="13" t="str">
        <f>MID(Indicadores[[#This Row],[CIIU]],2,4)</f>
        <v>1011</v>
      </c>
      <c r="B1316" s="13" t="str">
        <f>Indicadores[[#This Row],[CIIU]]&amp;Indicadores[[#This Row],[Año]]</f>
        <v>C10112019</v>
      </c>
      <c r="C1316" s="845" t="s">
        <v>2279</v>
      </c>
      <c r="D1316" s="845" t="s">
        <v>2280</v>
      </c>
      <c r="E1316" s="843">
        <v>2019</v>
      </c>
      <c r="F1316" s="844" t="s">
        <v>2281</v>
      </c>
      <c r="G1316" s="842" t="s">
        <v>2282</v>
      </c>
      <c r="H1316" s="843" t="s">
        <v>2283</v>
      </c>
      <c r="I1316" s="842" t="s">
        <v>2282</v>
      </c>
      <c r="J1316" s="840">
        <v>105953301</v>
      </c>
      <c r="K1316" s="840">
        <v>256951819</v>
      </c>
      <c r="L1316" s="841">
        <v>5984507035</v>
      </c>
      <c r="M1316" s="840">
        <v>6442345924</v>
      </c>
      <c r="N1316" s="839">
        <f>Indicadores[[#This Row],[Ventas]]/Indicadores[[#This Row],[Activos totales]]</f>
        <v>1.0765040272026349</v>
      </c>
      <c r="O1316" s="837">
        <f>IF(Indicadores[[#This Row],[Ventas]]=0,0,Indicadores[[#This Row],[EBITDA]]/Indicadores[[#This Row],[Ventas]])</f>
        <v>3.988482177629802E-2</v>
      </c>
      <c r="P1316" s="837">
        <f>IF(Indicadores[[#This Row],[Ventas]]=0,0,Indicadores[[#This Row],[UAI]]/Indicadores[[#This Row],[Ventas]])</f>
        <v>1.644638494267853E-2</v>
      </c>
      <c r="Q1316" s="837">
        <f>IFERROR(Indicadores[[#This Row],[Ventas]]/Indicadores[[#This Row],[Activos totales]],0)</f>
        <v>1.0765040272026349</v>
      </c>
    </row>
    <row r="1317" spans="1:17" x14ac:dyDescent="0.3">
      <c r="A1317" s="13" t="str">
        <f>MID(Indicadores[[#This Row],[CIIU]],2,4)</f>
        <v>1012</v>
      </c>
      <c r="B1317" s="13" t="str">
        <f>Indicadores[[#This Row],[CIIU]]&amp;Indicadores[[#This Row],[Año]]</f>
        <v>C10122019</v>
      </c>
      <c r="C1317" s="845" t="s">
        <v>2279</v>
      </c>
      <c r="D1317" s="845" t="s">
        <v>2280</v>
      </c>
      <c r="E1317" s="843">
        <v>2019</v>
      </c>
      <c r="F1317" s="844" t="s">
        <v>2284</v>
      </c>
      <c r="G1317" s="842" t="s">
        <v>2285</v>
      </c>
      <c r="H1317" s="843" t="s">
        <v>2286</v>
      </c>
      <c r="I1317" s="842" t="s">
        <v>2285</v>
      </c>
      <c r="J1317" s="840">
        <v>20973454</v>
      </c>
      <c r="K1317" s="840">
        <v>28849919</v>
      </c>
      <c r="L1317" s="841">
        <v>563164399</v>
      </c>
      <c r="M1317" s="840">
        <v>696653706</v>
      </c>
      <c r="N1317" s="839">
        <f>Indicadores[[#This Row],[Ventas]]/Indicadores[[#This Row],[Activos totales]]</f>
        <v>1.2370343495381355</v>
      </c>
      <c r="O1317" s="837">
        <f>IF(Indicadores[[#This Row],[Ventas]]=0,0,Indicadores[[#This Row],[EBITDA]]/Indicadores[[#This Row],[Ventas]])</f>
        <v>4.1412137409917116E-2</v>
      </c>
      <c r="P1317" s="837">
        <f>IF(Indicadores[[#This Row],[Ventas]]=0,0,Indicadores[[#This Row],[UAI]]/Indicadores[[#This Row],[Ventas]])</f>
        <v>3.0105996450408606E-2</v>
      </c>
      <c r="Q1317" s="837">
        <f>IFERROR(Indicadores[[#This Row],[Ventas]]/Indicadores[[#This Row],[Activos totales]],0)</f>
        <v>1.2370343495381355</v>
      </c>
    </row>
    <row r="1318" spans="1:17" x14ac:dyDescent="0.3">
      <c r="A1318" s="13" t="str">
        <f>MID(Indicadores[[#This Row],[CIIU]],2,4)</f>
        <v>1020</v>
      </c>
      <c r="B1318" s="13" t="str">
        <f>Indicadores[[#This Row],[CIIU]]&amp;Indicadores[[#This Row],[Año]]</f>
        <v>C10202019</v>
      </c>
      <c r="C1318" s="845" t="s">
        <v>2279</v>
      </c>
      <c r="D1318" s="845" t="s">
        <v>2280</v>
      </c>
      <c r="E1318" s="843">
        <v>2019</v>
      </c>
      <c r="F1318" s="844" t="s">
        <v>2287</v>
      </c>
      <c r="G1318" s="842" t="s">
        <v>2288</v>
      </c>
      <c r="H1318" s="843" t="s">
        <v>2289</v>
      </c>
      <c r="I1318" s="842" t="s">
        <v>2288</v>
      </c>
      <c r="J1318" s="840">
        <v>66018344</v>
      </c>
      <c r="K1318" s="840">
        <v>95117702</v>
      </c>
      <c r="L1318" s="841">
        <v>1061353340</v>
      </c>
      <c r="M1318" s="840">
        <v>897053212</v>
      </c>
      <c r="N1318" s="839">
        <f>Indicadores[[#This Row],[Ventas]]/Indicadores[[#This Row],[Activos totales]]</f>
        <v>0.84519752111959245</v>
      </c>
      <c r="O1318" s="837">
        <f>IF(Indicadores[[#This Row],[Ventas]]=0,0,Indicadores[[#This Row],[EBITDA]]/Indicadores[[#This Row],[Ventas]])</f>
        <v>0.10603351142117086</v>
      </c>
      <c r="P1318" s="837">
        <f>IF(Indicadores[[#This Row],[Ventas]]=0,0,Indicadores[[#This Row],[UAI]]/Indicadores[[#This Row],[Ventas]])</f>
        <v>7.3594679910694086E-2</v>
      </c>
      <c r="Q1318" s="837">
        <f>IFERROR(Indicadores[[#This Row],[Ventas]]/Indicadores[[#This Row],[Activos totales]],0)</f>
        <v>0.84519752111959245</v>
      </c>
    </row>
    <row r="1319" spans="1:17" x14ac:dyDescent="0.3">
      <c r="A1319" s="13" t="str">
        <f>MID(Indicadores[[#This Row],[CIIU]],2,4)</f>
        <v>1030</v>
      </c>
      <c r="B1319" s="13" t="str">
        <f>Indicadores[[#This Row],[CIIU]]&amp;Indicadores[[#This Row],[Año]]</f>
        <v>C10302019</v>
      </c>
      <c r="C1319" s="845" t="s">
        <v>2279</v>
      </c>
      <c r="D1319" s="845" t="s">
        <v>2280</v>
      </c>
      <c r="E1319" s="843">
        <v>2019</v>
      </c>
      <c r="F1319" s="844" t="s">
        <v>2290</v>
      </c>
      <c r="G1319" s="842" t="s">
        <v>2291</v>
      </c>
      <c r="H1319" s="843" t="s">
        <v>2292</v>
      </c>
      <c r="I1319" s="842" t="s">
        <v>2291</v>
      </c>
      <c r="J1319" s="840">
        <v>22893248</v>
      </c>
      <c r="K1319" s="840">
        <v>166263440</v>
      </c>
      <c r="L1319" s="841">
        <v>6587664760</v>
      </c>
      <c r="M1319" s="840">
        <v>7012961939</v>
      </c>
      <c r="N1319" s="839">
        <f>Indicadores[[#This Row],[Ventas]]/Indicadores[[#This Row],[Activos totales]]</f>
        <v>1.0645596268927322</v>
      </c>
      <c r="O1319" s="837">
        <f>IF(Indicadores[[#This Row],[Ventas]]=0,0,Indicadores[[#This Row],[EBITDA]]/Indicadores[[#This Row],[Ventas]])</f>
        <v>2.3708019727782526E-2</v>
      </c>
      <c r="P1319" s="837">
        <f>IF(Indicadores[[#This Row],[Ventas]]=0,0,Indicadores[[#This Row],[UAI]]/Indicadores[[#This Row],[Ventas]])</f>
        <v>3.2644192566749363E-3</v>
      </c>
      <c r="Q1319" s="837">
        <f>IFERROR(Indicadores[[#This Row],[Ventas]]/Indicadores[[#This Row],[Activos totales]],0)</f>
        <v>1.0645596268927322</v>
      </c>
    </row>
    <row r="1320" spans="1:17" x14ac:dyDescent="0.3">
      <c r="A1320" s="13" t="str">
        <f>MID(Indicadores[[#This Row],[CIIU]],2,4)</f>
        <v>1040</v>
      </c>
      <c r="B1320" s="13" t="str">
        <f>Indicadores[[#This Row],[CIIU]]&amp;Indicadores[[#This Row],[Año]]</f>
        <v>C10402019</v>
      </c>
      <c r="C1320" s="845" t="s">
        <v>2279</v>
      </c>
      <c r="D1320" s="845" t="s">
        <v>2280</v>
      </c>
      <c r="E1320" s="843">
        <v>2019</v>
      </c>
      <c r="F1320" s="844" t="s">
        <v>2293</v>
      </c>
      <c r="G1320" s="842" t="s">
        <v>2294</v>
      </c>
      <c r="H1320" s="843" t="s">
        <v>2295</v>
      </c>
      <c r="I1320" s="842" t="s">
        <v>2294</v>
      </c>
      <c r="J1320" s="840">
        <v>44846141</v>
      </c>
      <c r="K1320" s="840">
        <v>165514861</v>
      </c>
      <c r="L1320" s="841">
        <v>3824298526</v>
      </c>
      <c r="M1320" s="840">
        <v>5507189958</v>
      </c>
      <c r="N1320" s="839">
        <f>Indicadores[[#This Row],[Ventas]]/Indicadores[[#This Row],[Activos totales]]</f>
        <v>1.4400523182378782</v>
      </c>
      <c r="O1320" s="837">
        <f>IF(Indicadores[[#This Row],[Ventas]]=0,0,Indicadores[[#This Row],[EBITDA]]/Indicadores[[#This Row],[Ventas]])</f>
        <v>3.005432212476445E-2</v>
      </c>
      <c r="P1320" s="837">
        <f>IF(Indicadores[[#This Row],[Ventas]]=0,0,Indicadores[[#This Row],[UAI]]/Indicadores[[#This Row],[Ventas]])</f>
        <v>8.1431984990556587E-3</v>
      </c>
      <c r="Q1320" s="837">
        <f>IFERROR(Indicadores[[#This Row],[Ventas]]/Indicadores[[#This Row],[Activos totales]],0)</f>
        <v>1.4400523182378782</v>
      </c>
    </row>
    <row r="1321" spans="1:17" x14ac:dyDescent="0.3">
      <c r="A1321" s="13" t="str">
        <f>MID(Indicadores[[#This Row],[CIIU]],2,4)</f>
        <v>1051</v>
      </c>
      <c r="B1321" s="13" t="str">
        <f>Indicadores[[#This Row],[CIIU]]&amp;Indicadores[[#This Row],[Año]]</f>
        <v>C10512019</v>
      </c>
      <c r="C1321" s="845" t="s">
        <v>2279</v>
      </c>
      <c r="D1321" s="845" t="s">
        <v>2280</v>
      </c>
      <c r="E1321" s="843">
        <v>2019</v>
      </c>
      <c r="F1321" s="844" t="s">
        <v>2296</v>
      </c>
      <c r="G1321" s="842" t="s">
        <v>2297</v>
      </c>
      <c r="H1321" s="843" t="s">
        <v>2298</v>
      </c>
      <c r="I1321" s="842" t="s">
        <v>2297</v>
      </c>
      <c r="J1321" s="840">
        <v>480427060</v>
      </c>
      <c r="K1321" s="840">
        <v>603518386</v>
      </c>
      <c r="L1321" s="841">
        <v>7368433454</v>
      </c>
      <c r="M1321" s="840">
        <v>8866673441</v>
      </c>
      <c r="N1321" s="839">
        <f>Indicadores[[#This Row],[Ventas]]/Indicadores[[#This Row],[Activos totales]]</f>
        <v>1.2033322274474327</v>
      </c>
      <c r="O1321" s="837">
        <f>IF(Indicadores[[#This Row],[Ventas]]=0,0,Indicadores[[#This Row],[EBITDA]]/Indicadores[[#This Row],[Ventas]])</f>
        <v>6.8065931379551747E-2</v>
      </c>
      <c r="P1321" s="837">
        <f>IF(Indicadores[[#This Row],[Ventas]]=0,0,Indicadores[[#This Row],[UAI]]/Indicadores[[#This Row],[Ventas]])</f>
        <v>5.418346161013194E-2</v>
      </c>
      <c r="Q1321" s="837">
        <f>IFERROR(Indicadores[[#This Row],[Ventas]]/Indicadores[[#This Row],[Activos totales]],0)</f>
        <v>1.2033322274474327</v>
      </c>
    </row>
    <row r="1322" spans="1:17" x14ac:dyDescent="0.3">
      <c r="A1322" s="13" t="str">
        <f>MID(Indicadores[[#This Row],[CIIU]],2,4)</f>
        <v>1052</v>
      </c>
      <c r="B1322" s="13" t="str">
        <f>Indicadores[[#This Row],[CIIU]]&amp;Indicadores[[#This Row],[Año]]</f>
        <v>C10522019</v>
      </c>
      <c r="C1322" s="845" t="s">
        <v>2279</v>
      </c>
      <c r="D1322" s="845" t="s">
        <v>2280</v>
      </c>
      <c r="E1322" s="843">
        <v>2019</v>
      </c>
      <c r="F1322" s="844" t="s">
        <v>2299</v>
      </c>
      <c r="G1322" s="842" t="s">
        <v>2300</v>
      </c>
      <c r="H1322" s="843" t="s">
        <v>2301</v>
      </c>
      <c r="I1322" s="842" t="s">
        <v>2300</v>
      </c>
      <c r="J1322" s="840">
        <v>81143313</v>
      </c>
      <c r="K1322" s="840">
        <v>103185220</v>
      </c>
      <c r="L1322" s="841">
        <v>587200974</v>
      </c>
      <c r="M1322" s="840">
        <v>840157541</v>
      </c>
      <c r="N1322" s="839">
        <f>Indicadores[[#This Row],[Ventas]]/Indicadores[[#This Row],[Activos totales]]</f>
        <v>1.4307836297969083</v>
      </c>
      <c r="O1322" s="837">
        <f>IF(Indicadores[[#This Row],[Ventas]]=0,0,Indicadores[[#This Row],[EBITDA]]/Indicadores[[#This Row],[Ventas]])</f>
        <v>0.12281651352814556</v>
      </c>
      <c r="P1322" s="837">
        <f>IF(Indicadores[[#This Row],[Ventas]]=0,0,Indicadores[[#This Row],[UAI]]/Indicadores[[#This Row],[Ventas]])</f>
        <v>9.6581068478441473E-2</v>
      </c>
      <c r="Q1322" s="837">
        <f>IFERROR(Indicadores[[#This Row],[Ventas]]/Indicadores[[#This Row],[Activos totales]],0)</f>
        <v>1.4307836297969083</v>
      </c>
    </row>
    <row r="1323" spans="1:17" x14ac:dyDescent="0.3">
      <c r="A1323" s="13" t="str">
        <f>MID(Indicadores[[#This Row],[CIIU]],2,4)</f>
        <v>1061</v>
      </c>
      <c r="B1323" s="13" t="str">
        <f>Indicadores[[#This Row],[CIIU]]&amp;Indicadores[[#This Row],[Año]]</f>
        <v>C10612019</v>
      </c>
      <c r="C1323" s="845" t="s">
        <v>2279</v>
      </c>
      <c r="D1323" s="845" t="s">
        <v>2280</v>
      </c>
      <c r="E1323" s="843">
        <v>2019</v>
      </c>
      <c r="F1323" s="844" t="s">
        <v>2302</v>
      </c>
      <c r="G1323" s="842" t="s">
        <v>2303</v>
      </c>
      <c r="H1323" s="843" t="s">
        <v>2304</v>
      </c>
      <c r="I1323" s="842" t="s">
        <v>2303</v>
      </c>
      <c r="J1323" s="840">
        <v>26039835</v>
      </c>
      <c r="K1323" s="840">
        <v>40601793</v>
      </c>
      <c r="L1323" s="841">
        <v>2023986434</v>
      </c>
      <c r="M1323" s="840">
        <v>4636652915</v>
      </c>
      <c r="N1323" s="839">
        <f>Indicadores[[#This Row],[Ventas]]/Indicadores[[#This Row],[Activos totales]]</f>
        <v>2.2908517750470256</v>
      </c>
      <c r="O1323" s="837">
        <f>IF(Indicadores[[#This Row],[Ventas]]=0,0,Indicadores[[#This Row],[EBITDA]]/Indicadores[[#This Row],[Ventas]])</f>
        <v>8.7567031098337023E-3</v>
      </c>
      <c r="P1323" s="837">
        <f>IF(Indicadores[[#This Row],[Ventas]]=0,0,Indicadores[[#This Row],[UAI]]/Indicadores[[#This Row],[Ventas]])</f>
        <v>5.6160845932113511E-3</v>
      </c>
      <c r="Q1323" s="837">
        <f>IFERROR(Indicadores[[#This Row],[Ventas]]/Indicadores[[#This Row],[Activos totales]],0)</f>
        <v>2.2908517750470256</v>
      </c>
    </row>
    <row r="1324" spans="1:17" x14ac:dyDescent="0.3">
      <c r="A1324" s="13" t="str">
        <f>MID(Indicadores[[#This Row],[CIIU]],2,4)</f>
        <v>1062</v>
      </c>
      <c r="B1324" s="13" t="str">
        <f>Indicadores[[#This Row],[CIIU]]&amp;Indicadores[[#This Row],[Año]]</f>
        <v>C10622019</v>
      </c>
      <c r="C1324" s="845" t="s">
        <v>2279</v>
      </c>
      <c r="D1324" s="845" t="s">
        <v>2280</v>
      </c>
      <c r="E1324" s="843">
        <v>2019</v>
      </c>
      <c r="F1324" s="844" t="s">
        <v>2305</v>
      </c>
      <c r="G1324" s="842" t="s">
        <v>2306</v>
      </c>
      <c r="H1324" s="843" t="s">
        <v>2307</v>
      </c>
      <c r="I1324" s="842" t="s">
        <v>2306</v>
      </c>
      <c r="J1324" s="840">
        <v>75273326</v>
      </c>
      <c r="K1324" s="840">
        <v>105043502</v>
      </c>
      <c r="L1324" s="841">
        <v>1766447490</v>
      </c>
      <c r="M1324" s="840">
        <v>1371614618</v>
      </c>
      <c r="N1324" s="839">
        <f>Indicadores[[#This Row],[Ventas]]/Indicadores[[#This Row],[Activos totales]]</f>
        <v>0.77648196494083166</v>
      </c>
      <c r="O1324" s="837">
        <f>IF(Indicadores[[#This Row],[Ventas]]=0,0,Indicadores[[#This Row],[EBITDA]]/Indicadores[[#This Row],[Ventas]])</f>
        <v>7.6583830925604793E-2</v>
      </c>
      <c r="P1324" s="837">
        <f>IF(Indicadores[[#This Row],[Ventas]]=0,0,Indicadores[[#This Row],[UAI]]/Indicadores[[#This Row],[Ventas]])</f>
        <v>5.4879355332154968E-2</v>
      </c>
      <c r="Q1324" s="837">
        <f>IFERROR(Indicadores[[#This Row],[Ventas]]/Indicadores[[#This Row],[Activos totales]],0)</f>
        <v>0.77648196494083166</v>
      </c>
    </row>
    <row r="1325" spans="1:17" x14ac:dyDescent="0.3">
      <c r="A1325" s="13" t="str">
        <f>MID(Indicadores[[#This Row],[CIIU]],2,4)</f>
        <v>1063</v>
      </c>
      <c r="B1325" s="13" t="str">
        <f>Indicadores[[#This Row],[CIIU]]&amp;Indicadores[[#This Row],[Año]]</f>
        <v>C10632019</v>
      </c>
      <c r="C1325" s="845" t="s">
        <v>2279</v>
      </c>
      <c r="D1325" s="845" t="s">
        <v>2280</v>
      </c>
      <c r="E1325" s="843">
        <v>2019</v>
      </c>
      <c r="F1325" s="844" t="s">
        <v>2308</v>
      </c>
      <c r="G1325" s="842" t="s">
        <v>2309</v>
      </c>
      <c r="H1325" s="843" t="s">
        <v>2310</v>
      </c>
      <c r="I1325" s="842" t="s">
        <v>2309</v>
      </c>
      <c r="J1325" s="840">
        <v>28775624</v>
      </c>
      <c r="K1325" s="840">
        <v>31626234</v>
      </c>
      <c r="L1325" s="841">
        <v>158928195</v>
      </c>
      <c r="M1325" s="840">
        <v>94266554</v>
      </c>
      <c r="N1325" s="839">
        <f>Indicadores[[#This Row],[Ventas]]/Indicadores[[#This Row],[Activos totales]]</f>
        <v>0.59313927273886169</v>
      </c>
      <c r="O1325" s="837">
        <f>IF(Indicadores[[#This Row],[Ventas]]=0,0,Indicadores[[#This Row],[EBITDA]]/Indicadores[[#This Row],[Ventas]])</f>
        <v>0.33549793280870327</v>
      </c>
      <c r="P1325" s="837">
        <f>IF(Indicadores[[#This Row],[Ventas]]=0,0,Indicadores[[#This Row],[UAI]]/Indicadores[[#This Row],[Ventas]])</f>
        <v>0.30525804518111482</v>
      </c>
      <c r="Q1325" s="837">
        <f>IFERROR(Indicadores[[#This Row],[Ventas]]/Indicadores[[#This Row],[Activos totales]],0)</f>
        <v>0.59313927273886169</v>
      </c>
    </row>
    <row r="1326" spans="1:17" x14ac:dyDescent="0.3">
      <c r="A1326" s="13" t="str">
        <f>MID(Indicadores[[#This Row],[CIIU]],2,4)</f>
        <v>1071</v>
      </c>
      <c r="B1326" s="13" t="str">
        <f>Indicadores[[#This Row],[CIIU]]&amp;Indicadores[[#This Row],[Año]]</f>
        <v>C10712019</v>
      </c>
      <c r="C1326" s="845" t="s">
        <v>2279</v>
      </c>
      <c r="D1326" s="845" t="s">
        <v>2280</v>
      </c>
      <c r="E1326" s="843">
        <v>2019</v>
      </c>
      <c r="F1326" s="844" t="s">
        <v>2311</v>
      </c>
      <c r="G1326" s="842" t="s">
        <v>2312</v>
      </c>
      <c r="H1326" s="843" t="s">
        <v>2313</v>
      </c>
      <c r="I1326" s="842" t="s">
        <v>2312</v>
      </c>
      <c r="J1326" s="840">
        <v>251531963</v>
      </c>
      <c r="K1326" s="840">
        <v>658319408</v>
      </c>
      <c r="L1326" s="841">
        <v>8453704139</v>
      </c>
      <c r="M1326" s="840">
        <v>3730776467</v>
      </c>
      <c r="N1326" s="839">
        <f>Indicadores[[#This Row],[Ventas]]/Indicadores[[#This Row],[Activos totales]]</f>
        <v>0.44131855168535844</v>
      </c>
      <c r="O1326" s="837">
        <f>IF(Indicadores[[#This Row],[Ventas]]=0,0,Indicadores[[#This Row],[EBITDA]]/Indicadores[[#This Row],[Ventas]])</f>
        <v>0.17645640627978154</v>
      </c>
      <c r="P1326" s="837">
        <f>IF(Indicadores[[#This Row],[Ventas]]=0,0,Indicadores[[#This Row],[UAI]]/Indicadores[[#This Row],[Ventas]])</f>
        <v>6.7420807766127688E-2</v>
      </c>
      <c r="Q1326" s="837">
        <f>IFERROR(Indicadores[[#This Row],[Ventas]]/Indicadores[[#This Row],[Activos totales]],0)</f>
        <v>0.44131855168535844</v>
      </c>
    </row>
    <row r="1327" spans="1:17" x14ac:dyDescent="0.3">
      <c r="A1327" s="13" t="str">
        <f>MID(Indicadores[[#This Row],[CIIU]],2,4)</f>
        <v>1072</v>
      </c>
      <c r="B1327" s="13" t="str">
        <f>Indicadores[[#This Row],[CIIU]]&amp;Indicadores[[#This Row],[Año]]</f>
        <v>C10722019</v>
      </c>
      <c r="C1327" s="845" t="s">
        <v>2279</v>
      </c>
      <c r="D1327" s="845" t="s">
        <v>2280</v>
      </c>
      <c r="E1327" s="843">
        <v>2019</v>
      </c>
      <c r="F1327" s="844" t="s">
        <v>2314</v>
      </c>
      <c r="G1327" s="842" t="s">
        <v>2315</v>
      </c>
      <c r="H1327" s="843" t="s">
        <v>2316</v>
      </c>
      <c r="I1327" s="842" t="s">
        <v>2315</v>
      </c>
      <c r="J1327" s="840">
        <v>6361339</v>
      </c>
      <c r="K1327" s="840">
        <v>9075707</v>
      </c>
      <c r="L1327" s="841">
        <v>153836876</v>
      </c>
      <c r="M1327" s="840">
        <v>116971532</v>
      </c>
      <c r="N1327" s="839">
        <f>Indicadores[[#This Row],[Ventas]]/Indicadores[[#This Row],[Activos totales]]</f>
        <v>0.76036081231914776</v>
      </c>
      <c r="O1327" s="837">
        <f>IF(Indicadores[[#This Row],[Ventas]]=0,0,Indicadores[[#This Row],[EBITDA]]/Indicadores[[#This Row],[Ventas]])</f>
        <v>7.7589023968669568E-2</v>
      </c>
      <c r="P1327" s="837">
        <f>IF(Indicadores[[#This Row],[Ventas]]=0,0,Indicadores[[#This Row],[UAI]]/Indicadores[[#This Row],[Ventas]])</f>
        <v>5.4383651228916106E-2</v>
      </c>
      <c r="Q1327" s="837">
        <f>IFERROR(Indicadores[[#This Row],[Ventas]]/Indicadores[[#This Row],[Activos totales]],0)</f>
        <v>0.76036081231914776</v>
      </c>
    </row>
    <row r="1328" spans="1:17" x14ac:dyDescent="0.3">
      <c r="A1328" s="13" t="str">
        <f>MID(Indicadores[[#This Row],[CIIU]],2,4)</f>
        <v>1081</v>
      </c>
      <c r="B1328" s="13" t="str">
        <f>Indicadores[[#This Row],[CIIU]]&amp;Indicadores[[#This Row],[Año]]</f>
        <v>C10812019</v>
      </c>
      <c r="C1328" s="845" t="s">
        <v>2279</v>
      </c>
      <c r="D1328" s="845" t="s">
        <v>2280</v>
      </c>
      <c r="E1328" s="843">
        <v>2019</v>
      </c>
      <c r="F1328" s="844" t="s">
        <v>2317</v>
      </c>
      <c r="G1328" s="842" t="s">
        <v>2318</v>
      </c>
      <c r="H1328" s="843" t="s">
        <v>2319</v>
      </c>
      <c r="I1328" s="842" t="s">
        <v>2318</v>
      </c>
      <c r="J1328" s="840">
        <v>69637699</v>
      </c>
      <c r="K1328" s="840">
        <v>766200521</v>
      </c>
      <c r="L1328" s="841">
        <v>2320786677</v>
      </c>
      <c r="M1328" s="840">
        <v>3018882110</v>
      </c>
      <c r="N1328" s="839">
        <f>Indicadores[[#This Row],[Ventas]]/Indicadores[[#This Row],[Activos totales]]</f>
        <v>1.3008012067280581</v>
      </c>
      <c r="O1328" s="837">
        <f>IF(Indicadores[[#This Row],[Ventas]]=0,0,Indicadores[[#This Row],[EBITDA]]/Indicadores[[#This Row],[Ventas]])</f>
        <v>0.25380272997808451</v>
      </c>
      <c r="P1328" s="837">
        <f>IF(Indicadores[[#This Row],[Ventas]]=0,0,Indicadores[[#This Row],[UAI]]/Indicadores[[#This Row],[Ventas]])</f>
        <v>2.3067379401575903E-2</v>
      </c>
      <c r="Q1328" s="837">
        <f>IFERROR(Indicadores[[#This Row],[Ventas]]/Indicadores[[#This Row],[Activos totales]],0)</f>
        <v>1.3008012067280581</v>
      </c>
    </row>
    <row r="1329" spans="1:17" x14ac:dyDescent="0.3">
      <c r="A1329" s="13" t="str">
        <f>MID(Indicadores[[#This Row],[CIIU]],2,4)</f>
        <v>1082</v>
      </c>
      <c r="B1329" s="13" t="str">
        <f>Indicadores[[#This Row],[CIIU]]&amp;Indicadores[[#This Row],[Año]]</f>
        <v>C10822019</v>
      </c>
      <c r="C1329" s="845" t="s">
        <v>2279</v>
      </c>
      <c r="D1329" s="845" t="s">
        <v>2280</v>
      </c>
      <c r="E1329" s="843">
        <v>2019</v>
      </c>
      <c r="F1329" s="844" t="s">
        <v>2320</v>
      </c>
      <c r="G1329" s="842" t="s">
        <v>2321</v>
      </c>
      <c r="H1329" s="843" t="s">
        <v>2322</v>
      </c>
      <c r="I1329" s="842" t="s">
        <v>2321</v>
      </c>
      <c r="J1329" s="840">
        <v>194302409</v>
      </c>
      <c r="K1329" s="840">
        <v>265172610</v>
      </c>
      <c r="L1329" s="841">
        <v>2748813659</v>
      </c>
      <c r="M1329" s="840">
        <v>2020600688</v>
      </c>
      <c r="N1329" s="839">
        <f>Indicadores[[#This Row],[Ventas]]/Indicadores[[#This Row],[Activos totales]]</f>
        <v>0.73508099808230765</v>
      </c>
      <c r="O1329" s="837">
        <f>IF(Indicadores[[#This Row],[Ventas]]=0,0,Indicadores[[#This Row],[EBITDA]]/Indicadores[[#This Row],[Ventas]])</f>
        <v>0.13123454405158552</v>
      </c>
      <c r="P1329" s="837">
        <f>IF(Indicadores[[#This Row],[Ventas]]=0,0,Indicadores[[#This Row],[UAI]]/Indicadores[[#This Row],[Ventas]])</f>
        <v>9.6160716045445585E-2</v>
      </c>
      <c r="Q1329" s="837">
        <f>IFERROR(Indicadores[[#This Row],[Ventas]]/Indicadores[[#This Row],[Activos totales]],0)</f>
        <v>0.73508099808230765</v>
      </c>
    </row>
    <row r="1330" spans="1:17" x14ac:dyDescent="0.3">
      <c r="A1330" s="13" t="str">
        <f>MID(Indicadores[[#This Row],[CIIU]],2,4)</f>
        <v>1083</v>
      </c>
      <c r="B1330" s="13" t="str">
        <f>Indicadores[[#This Row],[CIIU]]&amp;Indicadores[[#This Row],[Año]]</f>
        <v>C10832019</v>
      </c>
      <c r="C1330" s="845" t="s">
        <v>2279</v>
      </c>
      <c r="D1330" s="845" t="s">
        <v>2280</v>
      </c>
      <c r="E1330" s="843">
        <v>2019</v>
      </c>
      <c r="F1330" s="844" t="s">
        <v>2323</v>
      </c>
      <c r="G1330" s="842" t="s">
        <v>2324</v>
      </c>
      <c r="H1330" s="843" t="s">
        <v>2325</v>
      </c>
      <c r="I1330" s="842" t="s">
        <v>2324</v>
      </c>
      <c r="J1330" s="840">
        <v>35614569</v>
      </c>
      <c r="K1330" s="840">
        <v>44654762</v>
      </c>
      <c r="L1330" s="841">
        <v>402679078</v>
      </c>
      <c r="M1330" s="840">
        <v>367290798</v>
      </c>
      <c r="N1330" s="839">
        <f>Indicadores[[#This Row],[Ventas]]/Indicadores[[#This Row],[Activos totales]]</f>
        <v>0.91211790745184929</v>
      </c>
      <c r="O1330" s="837">
        <f>IF(Indicadores[[#This Row],[Ventas]]=0,0,Indicadores[[#This Row],[EBITDA]]/Indicadores[[#This Row],[Ventas]])</f>
        <v>0.12157876604357509</v>
      </c>
      <c r="P1330" s="837">
        <f>IF(Indicadores[[#This Row],[Ventas]]=0,0,Indicadores[[#This Row],[UAI]]/Indicadores[[#This Row],[Ventas]])</f>
        <v>9.6965590191562603E-2</v>
      </c>
      <c r="Q1330" s="837">
        <f>IFERROR(Indicadores[[#This Row],[Ventas]]/Indicadores[[#This Row],[Activos totales]],0)</f>
        <v>0.91211790745184929</v>
      </c>
    </row>
    <row r="1331" spans="1:17" x14ac:dyDescent="0.3">
      <c r="A1331" s="13" t="str">
        <f>MID(Indicadores[[#This Row],[CIIU]],2,4)</f>
        <v>1084</v>
      </c>
      <c r="B1331" s="13" t="str">
        <f>Indicadores[[#This Row],[CIIU]]&amp;Indicadores[[#This Row],[Año]]</f>
        <v>C10842019</v>
      </c>
      <c r="C1331" s="845" t="s">
        <v>2279</v>
      </c>
      <c r="D1331" s="845" t="s">
        <v>2280</v>
      </c>
      <c r="E1331" s="843">
        <v>2019</v>
      </c>
      <c r="F1331" s="844" t="s">
        <v>2326</v>
      </c>
      <c r="G1331" s="842" t="s">
        <v>2327</v>
      </c>
      <c r="H1331" s="843" t="s">
        <v>2328</v>
      </c>
      <c r="I1331" s="842" t="s">
        <v>2327</v>
      </c>
      <c r="J1331" s="840">
        <v>16621408</v>
      </c>
      <c r="K1331" s="840">
        <v>28312100</v>
      </c>
      <c r="L1331" s="841">
        <v>427245843</v>
      </c>
      <c r="M1331" s="840">
        <v>381753354</v>
      </c>
      <c r="N1331" s="839">
        <f>Indicadores[[#This Row],[Ventas]]/Indicadores[[#This Row],[Activos totales]]</f>
        <v>0.89352151753996123</v>
      </c>
      <c r="O1331" s="837">
        <f>IF(Indicadores[[#This Row],[Ventas]]=0,0,Indicadores[[#This Row],[EBITDA]]/Indicadores[[#This Row],[Ventas]])</f>
        <v>7.4163330075156325E-2</v>
      </c>
      <c r="P1331" s="837">
        <f>IF(Indicadores[[#This Row],[Ventas]]=0,0,Indicadores[[#This Row],[UAI]]/Indicadores[[#This Row],[Ventas]])</f>
        <v>4.3539651520651736E-2</v>
      </c>
      <c r="Q1331" s="837">
        <f>IFERROR(Indicadores[[#This Row],[Ventas]]/Indicadores[[#This Row],[Activos totales]],0)</f>
        <v>0.89352151753996123</v>
      </c>
    </row>
    <row r="1332" spans="1:17" x14ac:dyDescent="0.3">
      <c r="A1332" s="13" t="str">
        <f>MID(Indicadores[[#This Row],[CIIU]],2,4)</f>
        <v>1089</v>
      </c>
      <c r="B1332" s="13" t="str">
        <f>Indicadores[[#This Row],[CIIU]]&amp;Indicadores[[#This Row],[Año]]</f>
        <v>C10892019</v>
      </c>
      <c r="C1332" s="845" t="s">
        <v>2279</v>
      </c>
      <c r="D1332" s="845" t="s">
        <v>2280</v>
      </c>
      <c r="E1332" s="843">
        <v>2019</v>
      </c>
      <c r="F1332" s="844" t="s">
        <v>2329</v>
      </c>
      <c r="G1332" s="842" t="s">
        <v>2330</v>
      </c>
      <c r="H1332" s="843" t="s">
        <v>2331</v>
      </c>
      <c r="I1332" s="842" t="s">
        <v>2330</v>
      </c>
      <c r="J1332" s="840">
        <v>687885685</v>
      </c>
      <c r="K1332" s="840">
        <v>889193092</v>
      </c>
      <c r="L1332" s="841">
        <v>7048041567</v>
      </c>
      <c r="M1332" s="840">
        <v>7773198028</v>
      </c>
      <c r="N1332" s="839">
        <f>Indicadores[[#This Row],[Ventas]]/Indicadores[[#This Row],[Activos totales]]</f>
        <v>1.1028876538406489</v>
      </c>
      <c r="O1332" s="837">
        <f>IF(Indicadores[[#This Row],[Ventas]]=0,0,Indicadores[[#This Row],[EBITDA]]/Indicadores[[#This Row],[Ventas]])</f>
        <v>0.11439218308822428</v>
      </c>
      <c r="P1332" s="837">
        <f>IF(Indicadores[[#This Row],[Ventas]]=0,0,Indicadores[[#This Row],[UAI]]/Indicadores[[#This Row],[Ventas]])</f>
        <v>8.8494553016937497E-2</v>
      </c>
      <c r="Q1332" s="837">
        <f>IFERROR(Indicadores[[#This Row],[Ventas]]/Indicadores[[#This Row],[Activos totales]],0)</f>
        <v>1.1028876538406489</v>
      </c>
    </row>
    <row r="1333" spans="1:17" x14ac:dyDescent="0.3">
      <c r="A1333" s="13" t="str">
        <f>MID(Indicadores[[#This Row],[CIIU]],2,4)</f>
        <v>1090</v>
      </c>
      <c r="B1333" s="13" t="str">
        <f>Indicadores[[#This Row],[CIIU]]&amp;Indicadores[[#This Row],[Año]]</f>
        <v>C10902019</v>
      </c>
      <c r="C1333" s="845" t="s">
        <v>2279</v>
      </c>
      <c r="D1333" s="845" t="s">
        <v>2280</v>
      </c>
      <c r="E1333" s="843">
        <v>2019</v>
      </c>
      <c r="F1333" s="844" t="s">
        <v>2332</v>
      </c>
      <c r="G1333" s="842" t="s">
        <v>2333</v>
      </c>
      <c r="H1333" s="843" t="s">
        <v>2334</v>
      </c>
      <c r="I1333" s="842" t="s">
        <v>2333</v>
      </c>
      <c r="J1333" s="840">
        <v>480539013</v>
      </c>
      <c r="K1333" s="840">
        <v>610297828</v>
      </c>
      <c r="L1333" s="841">
        <v>5164581951</v>
      </c>
      <c r="M1333" s="840">
        <v>10153698606</v>
      </c>
      <c r="N1333" s="839">
        <f>Indicadores[[#This Row],[Ventas]]/Indicadores[[#This Row],[Activos totales]]</f>
        <v>1.9660252663884972</v>
      </c>
      <c r="O1333" s="837">
        <f>IF(Indicadores[[#This Row],[Ventas]]=0,0,Indicadores[[#This Row],[EBITDA]]/Indicadores[[#This Row],[Ventas]])</f>
        <v>6.0105962534614157E-2</v>
      </c>
      <c r="P1333" s="837">
        <f>IF(Indicadores[[#This Row],[Ventas]]=0,0,Indicadores[[#This Row],[UAI]]/Indicadores[[#This Row],[Ventas]])</f>
        <v>4.7326499598485325E-2</v>
      </c>
      <c r="Q1333" s="837">
        <f>IFERROR(Indicadores[[#This Row],[Ventas]]/Indicadores[[#This Row],[Activos totales]],0)</f>
        <v>1.9660252663884972</v>
      </c>
    </row>
    <row r="1334" spans="1:17" x14ac:dyDescent="0.3">
      <c r="A1334" s="13" t="str">
        <f>MID(Indicadores[[#This Row],[CIIU]],2,4)</f>
        <v>1101</v>
      </c>
      <c r="B1334" s="13" t="str">
        <f>Indicadores[[#This Row],[CIIU]]&amp;Indicadores[[#This Row],[Año]]</f>
        <v>C11012019</v>
      </c>
      <c r="C1334" s="845" t="s">
        <v>2279</v>
      </c>
      <c r="D1334" s="845" t="s">
        <v>2335</v>
      </c>
      <c r="E1334" s="843">
        <v>2019</v>
      </c>
      <c r="F1334" s="844" t="s">
        <v>2336</v>
      </c>
      <c r="G1334" s="842" t="s">
        <v>2337</v>
      </c>
      <c r="H1334" s="843" t="s">
        <v>2338</v>
      </c>
      <c r="I1334" s="842" t="s">
        <v>2337</v>
      </c>
      <c r="J1334" s="840">
        <v>1698089</v>
      </c>
      <c r="K1334" s="840">
        <v>2438774</v>
      </c>
      <c r="L1334" s="841">
        <v>136450909</v>
      </c>
      <c r="M1334" s="840">
        <v>67553715</v>
      </c>
      <c r="N1334" s="839">
        <f>Indicadores[[#This Row],[Ventas]]/Indicadores[[#This Row],[Activos totales]]</f>
        <v>0.49507706101100435</v>
      </c>
      <c r="O1334" s="837">
        <f>IF(Indicadores[[#This Row],[Ventas]]=0,0,Indicadores[[#This Row],[EBITDA]]/Indicadores[[#This Row],[Ventas]])</f>
        <v>3.6101256607427142E-2</v>
      </c>
      <c r="P1334" s="837">
        <f>IF(Indicadores[[#This Row],[Ventas]]=0,0,Indicadores[[#This Row],[UAI]]/Indicadores[[#This Row],[Ventas]])</f>
        <v>2.5136870710959418E-2</v>
      </c>
      <c r="Q1334" s="837">
        <f>IFERROR(Indicadores[[#This Row],[Ventas]]/Indicadores[[#This Row],[Activos totales]],0)</f>
        <v>0.49507706101100435</v>
      </c>
    </row>
    <row r="1335" spans="1:17" x14ac:dyDescent="0.3">
      <c r="A1335" s="13" t="str">
        <f>MID(Indicadores[[#This Row],[CIIU]],2,4)</f>
        <v>1102</v>
      </c>
      <c r="B1335" s="13" t="str">
        <f>Indicadores[[#This Row],[CIIU]]&amp;Indicadores[[#This Row],[Año]]</f>
        <v>C11022019</v>
      </c>
      <c r="C1335" s="845" t="s">
        <v>2279</v>
      </c>
      <c r="D1335" s="845" t="s">
        <v>2335</v>
      </c>
      <c r="E1335" s="843">
        <v>2019</v>
      </c>
      <c r="F1335" s="844" t="s">
        <v>2339</v>
      </c>
      <c r="G1335" s="842" t="s">
        <v>2340</v>
      </c>
      <c r="H1335" s="843" t="s">
        <v>2341</v>
      </c>
      <c r="I1335" s="842" t="s">
        <v>2340</v>
      </c>
      <c r="J1335" s="840">
        <v>4271420</v>
      </c>
      <c r="K1335" s="840">
        <v>4406080</v>
      </c>
      <c r="L1335" s="841">
        <v>91512306</v>
      </c>
      <c r="M1335" s="840">
        <v>35516615</v>
      </c>
      <c r="N1335" s="839">
        <f>Indicadores[[#This Row],[Ventas]]/Indicadores[[#This Row],[Activos totales]]</f>
        <v>0.38810752949444854</v>
      </c>
      <c r="O1335" s="837">
        <f>IF(Indicadores[[#This Row],[Ventas]]=0,0,Indicadores[[#This Row],[EBITDA]]/Indicadores[[#This Row],[Ventas]])</f>
        <v>0.12405686746892969</v>
      </c>
      <c r="P1335" s="837">
        <f>IF(Indicadores[[#This Row],[Ventas]]=0,0,Indicadores[[#This Row],[UAI]]/Indicadores[[#This Row],[Ventas]])</f>
        <v>0.12026540254469634</v>
      </c>
      <c r="Q1335" s="837">
        <f>IFERROR(Indicadores[[#This Row],[Ventas]]/Indicadores[[#This Row],[Activos totales]],0)</f>
        <v>0.38810752949444854</v>
      </c>
    </row>
    <row r="1336" spans="1:17" x14ac:dyDescent="0.3">
      <c r="A1336" s="13" t="str">
        <f>MID(Indicadores[[#This Row],[CIIU]],2,4)</f>
        <v>1103</v>
      </c>
      <c r="B1336" s="13" t="str">
        <f>Indicadores[[#This Row],[CIIU]]&amp;Indicadores[[#This Row],[Año]]</f>
        <v>C11032019</v>
      </c>
      <c r="C1336" s="845" t="s">
        <v>2279</v>
      </c>
      <c r="D1336" s="845" t="s">
        <v>2335</v>
      </c>
      <c r="E1336" s="843">
        <v>2019</v>
      </c>
      <c r="F1336" s="844" t="s">
        <v>2342</v>
      </c>
      <c r="G1336" s="842" t="s">
        <v>2343</v>
      </c>
      <c r="H1336" s="843" t="s">
        <v>2344</v>
      </c>
      <c r="I1336" s="842" t="s">
        <v>2343</v>
      </c>
      <c r="J1336" s="840">
        <v>3799539487</v>
      </c>
      <c r="K1336" s="840">
        <v>4215603164</v>
      </c>
      <c r="L1336" s="841">
        <v>13225314122</v>
      </c>
      <c r="M1336" s="840">
        <v>6208119970</v>
      </c>
      <c r="N1336" s="839">
        <f>Indicadores[[#This Row],[Ventas]]/Indicadores[[#This Row],[Activos totales]]</f>
        <v>0.46941191057783177</v>
      </c>
      <c r="O1336" s="837">
        <f>IF(Indicadores[[#This Row],[Ventas]]=0,0,Indicadores[[#This Row],[EBITDA]]/Indicadores[[#This Row],[Ventas]])</f>
        <v>0.6790466653949021</v>
      </c>
      <c r="P1336" s="837">
        <f>IF(Indicadores[[#This Row],[Ventas]]=0,0,Indicadores[[#This Row],[UAI]]/Indicadores[[#This Row],[Ventas]])</f>
        <v>0.61202739401957784</v>
      </c>
      <c r="Q1336" s="837">
        <f>IFERROR(Indicadores[[#This Row],[Ventas]]/Indicadores[[#This Row],[Activos totales]],0)</f>
        <v>0.46941191057783177</v>
      </c>
    </row>
    <row r="1337" spans="1:17" x14ac:dyDescent="0.3">
      <c r="A1337" s="13" t="str">
        <f>MID(Indicadores[[#This Row],[CIIU]],2,4)</f>
        <v>1104</v>
      </c>
      <c r="B1337" s="13" t="str">
        <f>Indicadores[[#This Row],[CIIU]]&amp;Indicadores[[#This Row],[Año]]</f>
        <v>C11042019</v>
      </c>
      <c r="C1337" s="845" t="s">
        <v>2279</v>
      </c>
      <c r="D1337" s="845" t="s">
        <v>2335</v>
      </c>
      <c r="E1337" s="843">
        <v>2019</v>
      </c>
      <c r="F1337" s="844" t="s">
        <v>2345</v>
      </c>
      <c r="G1337" s="842" t="s">
        <v>2346</v>
      </c>
      <c r="H1337" s="843" t="s">
        <v>2347</v>
      </c>
      <c r="I1337" s="842" t="s">
        <v>2346</v>
      </c>
      <c r="J1337" s="840">
        <v>324957318</v>
      </c>
      <c r="K1337" s="840">
        <v>886359712</v>
      </c>
      <c r="L1337" s="841">
        <v>9630803680</v>
      </c>
      <c r="M1337" s="840">
        <v>8902555252</v>
      </c>
      <c r="N1337" s="839">
        <f>Indicadores[[#This Row],[Ventas]]/Indicadores[[#This Row],[Activos totales]]</f>
        <v>0.92438342092754611</v>
      </c>
      <c r="O1337" s="837">
        <f>IF(Indicadores[[#This Row],[Ventas]]=0,0,Indicadores[[#This Row],[EBITDA]]/Indicadores[[#This Row],[Ventas]])</f>
        <v>9.9562393819558184E-2</v>
      </c>
      <c r="P1337" s="837">
        <f>IF(Indicadores[[#This Row],[Ventas]]=0,0,Indicadores[[#This Row],[UAI]]/Indicadores[[#This Row],[Ventas]])</f>
        <v>3.6501578344823732E-2</v>
      </c>
      <c r="Q1337" s="837">
        <f>IFERROR(Indicadores[[#This Row],[Ventas]]/Indicadores[[#This Row],[Activos totales]],0)</f>
        <v>0.92438342092754611</v>
      </c>
    </row>
    <row r="1338" spans="1:17" x14ac:dyDescent="0.3">
      <c r="A1338" s="13" t="str">
        <f>MID(Indicadores[[#This Row],[CIIU]],2,4)</f>
        <v>1200</v>
      </c>
      <c r="B1338" s="13" t="str">
        <f>Indicadores[[#This Row],[CIIU]]&amp;Indicadores[[#This Row],[Año]]</f>
        <v>C12002019</v>
      </c>
      <c r="C1338" s="845" t="s">
        <v>2279</v>
      </c>
      <c r="D1338" s="845" t="s">
        <v>2348</v>
      </c>
      <c r="E1338" s="843">
        <v>2019</v>
      </c>
      <c r="F1338" s="844" t="s">
        <v>2349</v>
      </c>
      <c r="G1338" s="842" t="s">
        <v>2350</v>
      </c>
      <c r="H1338" s="843" t="s">
        <v>2351</v>
      </c>
      <c r="I1338" s="842" t="s">
        <v>2350</v>
      </c>
      <c r="J1338" s="840">
        <v>32758339</v>
      </c>
      <c r="K1338" s="840">
        <v>45163516</v>
      </c>
      <c r="L1338" s="841">
        <v>489529211</v>
      </c>
      <c r="M1338" s="840">
        <v>464979599</v>
      </c>
      <c r="N1338" s="839">
        <f>Indicadores[[#This Row],[Ventas]]/Indicadores[[#This Row],[Activos totales]]</f>
        <v>0.94985056775294252</v>
      </c>
      <c r="O1338" s="837">
        <f>IF(Indicadores[[#This Row],[Ventas]]=0,0,Indicadores[[#This Row],[EBITDA]]/Indicadores[[#This Row],[Ventas]])</f>
        <v>9.7130102260680043E-2</v>
      </c>
      <c r="P1338" s="837">
        <f>IF(Indicadores[[#This Row],[Ventas]]=0,0,Indicadores[[#This Row],[UAI]]/Indicadores[[#This Row],[Ventas]])</f>
        <v>7.0451131771052181E-2</v>
      </c>
      <c r="Q1338" s="837">
        <f>IFERROR(Indicadores[[#This Row],[Ventas]]/Indicadores[[#This Row],[Activos totales]],0)</f>
        <v>0.94985056775294252</v>
      </c>
    </row>
    <row r="1339" spans="1:17" x14ac:dyDescent="0.3">
      <c r="A1339" s="13" t="str">
        <f>MID(Indicadores[[#This Row],[CIIU]],2,4)</f>
        <v>1311</v>
      </c>
      <c r="B1339" s="13" t="str">
        <f>Indicadores[[#This Row],[CIIU]]&amp;Indicadores[[#This Row],[Año]]</f>
        <v>C13112019</v>
      </c>
      <c r="C1339" s="845" t="s">
        <v>2279</v>
      </c>
      <c r="D1339" s="845" t="s">
        <v>2352</v>
      </c>
      <c r="E1339" s="843">
        <v>2019</v>
      </c>
      <c r="F1339" s="844" t="s">
        <v>2353</v>
      </c>
      <c r="G1339" s="842" t="s">
        <v>2354</v>
      </c>
      <c r="H1339" s="843" t="s">
        <v>2355</v>
      </c>
      <c r="I1339" s="842" t="s">
        <v>2354</v>
      </c>
      <c r="J1339" s="840">
        <v>59457445</v>
      </c>
      <c r="K1339" s="840">
        <v>83343250</v>
      </c>
      <c r="L1339" s="841">
        <v>1177276221</v>
      </c>
      <c r="M1339" s="840">
        <v>1007252018</v>
      </c>
      <c r="N1339" s="839">
        <f>Indicadores[[#This Row],[Ventas]]/Indicadores[[#This Row],[Activos totales]]</f>
        <v>0.85557832565786618</v>
      </c>
      <c r="O1339" s="837">
        <f>IF(Indicadores[[#This Row],[Ventas]]=0,0,Indicadores[[#This Row],[EBITDA]]/Indicadores[[#This Row],[Ventas]])</f>
        <v>8.2743194861486985E-2</v>
      </c>
      <c r="P1339" s="837">
        <f>IF(Indicadores[[#This Row],[Ventas]]=0,0,Indicadores[[#This Row],[UAI]]/Indicadores[[#This Row],[Ventas]])</f>
        <v>5.9029362997017096E-2</v>
      </c>
      <c r="Q1339" s="837">
        <f>IFERROR(Indicadores[[#This Row],[Ventas]]/Indicadores[[#This Row],[Activos totales]],0)</f>
        <v>0.85557832565786618</v>
      </c>
    </row>
    <row r="1340" spans="1:17" x14ac:dyDescent="0.3">
      <c r="A1340" s="13" t="str">
        <f>MID(Indicadores[[#This Row],[CIIU]],2,4)</f>
        <v>1312</v>
      </c>
      <c r="B1340" s="13" t="str">
        <f>Indicadores[[#This Row],[CIIU]]&amp;Indicadores[[#This Row],[Año]]</f>
        <v>C13122019</v>
      </c>
      <c r="C1340" s="845" t="s">
        <v>2279</v>
      </c>
      <c r="D1340" s="845" t="s">
        <v>2352</v>
      </c>
      <c r="E1340" s="843">
        <v>2019</v>
      </c>
      <c r="F1340" s="844" t="s">
        <v>2356</v>
      </c>
      <c r="G1340" s="842" t="s">
        <v>2357</v>
      </c>
      <c r="H1340" s="843" t="s">
        <v>2358</v>
      </c>
      <c r="I1340" s="842" t="s">
        <v>2357</v>
      </c>
      <c r="J1340" s="840">
        <v>16643743</v>
      </c>
      <c r="K1340" s="840">
        <v>64048839</v>
      </c>
      <c r="L1340" s="841">
        <v>2163808982</v>
      </c>
      <c r="M1340" s="840">
        <v>1685240518</v>
      </c>
      <c r="N1340" s="839">
        <f>Indicadores[[#This Row],[Ventas]]/Indicadores[[#This Row],[Activos totales]]</f>
        <v>0.77883054004255903</v>
      </c>
      <c r="O1340" s="837">
        <f>IF(Indicadores[[#This Row],[Ventas]]=0,0,Indicadores[[#This Row],[EBITDA]]/Indicadores[[#This Row],[Ventas]])</f>
        <v>3.8005755449086583E-2</v>
      </c>
      <c r="P1340" s="837">
        <f>IF(Indicadores[[#This Row],[Ventas]]=0,0,Indicadores[[#This Row],[UAI]]/Indicadores[[#This Row],[Ventas]])</f>
        <v>9.87618255212162E-3</v>
      </c>
      <c r="Q1340" s="837">
        <f>IFERROR(Indicadores[[#This Row],[Ventas]]/Indicadores[[#This Row],[Activos totales]],0)</f>
        <v>0.77883054004255903</v>
      </c>
    </row>
    <row r="1341" spans="1:17" x14ac:dyDescent="0.3">
      <c r="A1341" s="13" t="str">
        <f>MID(Indicadores[[#This Row],[CIIU]],2,4)</f>
        <v>1313</v>
      </c>
      <c r="B1341" s="13" t="str">
        <f>Indicadores[[#This Row],[CIIU]]&amp;Indicadores[[#This Row],[Año]]</f>
        <v>C13132019</v>
      </c>
      <c r="C1341" s="845" t="s">
        <v>2279</v>
      </c>
      <c r="D1341" s="845" t="s">
        <v>2352</v>
      </c>
      <c r="E1341" s="843">
        <v>2019</v>
      </c>
      <c r="F1341" s="844" t="s">
        <v>2359</v>
      </c>
      <c r="G1341" s="842" t="s">
        <v>2360</v>
      </c>
      <c r="H1341" s="843" t="s">
        <v>2361</v>
      </c>
      <c r="I1341" s="842" t="s">
        <v>2360</v>
      </c>
      <c r="J1341" s="840">
        <v>22105943</v>
      </c>
      <c r="K1341" s="840">
        <v>40468392</v>
      </c>
      <c r="L1341" s="841">
        <v>520446134</v>
      </c>
      <c r="M1341" s="840">
        <v>533630028</v>
      </c>
      <c r="N1341" s="839">
        <f>Indicadores[[#This Row],[Ventas]]/Indicadores[[#This Row],[Activos totales]]</f>
        <v>1.0253319087965402</v>
      </c>
      <c r="O1341" s="837">
        <f>IF(Indicadores[[#This Row],[Ventas]]=0,0,Indicadores[[#This Row],[EBITDA]]/Indicadores[[#This Row],[Ventas]])</f>
        <v>7.583604721734287E-2</v>
      </c>
      <c r="P1341" s="837">
        <f>IF(Indicadores[[#This Row],[Ventas]]=0,0,Indicadores[[#This Row],[UAI]]/Indicadores[[#This Row],[Ventas]])</f>
        <v>4.1425597961290139E-2</v>
      </c>
      <c r="Q1341" s="837">
        <f>IFERROR(Indicadores[[#This Row],[Ventas]]/Indicadores[[#This Row],[Activos totales]],0)</f>
        <v>1.0253319087965402</v>
      </c>
    </row>
    <row r="1342" spans="1:17" x14ac:dyDescent="0.3">
      <c r="A1342" s="13" t="str">
        <f>MID(Indicadores[[#This Row],[CIIU]],2,4)</f>
        <v>1391</v>
      </c>
      <c r="B1342" s="13" t="str">
        <f>Indicadores[[#This Row],[CIIU]]&amp;Indicadores[[#This Row],[Año]]</f>
        <v>C13912019</v>
      </c>
      <c r="C1342" s="845" t="s">
        <v>2279</v>
      </c>
      <c r="D1342" s="845" t="s">
        <v>2352</v>
      </c>
      <c r="E1342" s="843">
        <v>2019</v>
      </c>
      <c r="F1342" s="844" t="s">
        <v>2362</v>
      </c>
      <c r="G1342" s="842" t="s">
        <v>2363</v>
      </c>
      <c r="H1342" s="843" t="s">
        <v>2364</v>
      </c>
      <c r="I1342" s="842" t="s">
        <v>2363</v>
      </c>
      <c r="J1342" s="840">
        <v>868711</v>
      </c>
      <c r="K1342" s="840">
        <v>1275095</v>
      </c>
      <c r="L1342" s="841">
        <v>18148188</v>
      </c>
      <c r="M1342" s="840">
        <v>17203639</v>
      </c>
      <c r="N1342" s="839">
        <f>Indicadores[[#This Row],[Ventas]]/Indicadores[[#This Row],[Activos totales]]</f>
        <v>0.94795353673876426</v>
      </c>
      <c r="O1342" s="837">
        <f>IF(Indicadores[[#This Row],[Ventas]]=0,0,Indicadores[[#This Row],[EBITDA]]/Indicadores[[#This Row],[Ventas]])</f>
        <v>7.411774915760555E-2</v>
      </c>
      <c r="P1342" s="837">
        <f>IF(Indicadores[[#This Row],[Ventas]]=0,0,Indicadores[[#This Row],[UAI]]/Indicadores[[#This Row],[Ventas]])</f>
        <v>5.0495770110033117E-2</v>
      </c>
      <c r="Q1342" s="837">
        <f>IFERROR(Indicadores[[#This Row],[Ventas]]/Indicadores[[#This Row],[Activos totales]],0)</f>
        <v>0.94795353673876426</v>
      </c>
    </row>
    <row r="1343" spans="1:17" x14ac:dyDescent="0.3">
      <c r="A1343" s="13" t="str">
        <f>MID(Indicadores[[#This Row],[CIIU]],2,4)</f>
        <v>1392</v>
      </c>
      <c r="B1343" s="13" t="str">
        <f>Indicadores[[#This Row],[CIIU]]&amp;Indicadores[[#This Row],[Año]]</f>
        <v>C13922019</v>
      </c>
      <c r="C1343" s="845" t="s">
        <v>2279</v>
      </c>
      <c r="D1343" s="845" t="s">
        <v>2352</v>
      </c>
      <c r="E1343" s="843">
        <v>2019</v>
      </c>
      <c r="F1343" s="844" t="s">
        <v>2365</v>
      </c>
      <c r="G1343" s="842" t="s">
        <v>2366</v>
      </c>
      <c r="H1343" s="843" t="s">
        <v>2367</v>
      </c>
      <c r="I1343" s="842" t="s">
        <v>2366</v>
      </c>
      <c r="J1343" s="840">
        <v>35792450</v>
      </c>
      <c r="K1343" s="840">
        <v>48606942</v>
      </c>
      <c r="L1343" s="841">
        <v>611932922</v>
      </c>
      <c r="M1343" s="840">
        <v>716808476</v>
      </c>
      <c r="N1343" s="839">
        <f>Indicadores[[#This Row],[Ventas]]/Indicadores[[#This Row],[Activos totales]]</f>
        <v>1.1713840687917751</v>
      </c>
      <c r="O1343" s="837">
        <f>IF(Indicadores[[#This Row],[Ventas]]=0,0,Indicadores[[#This Row],[EBITDA]]/Indicadores[[#This Row],[Ventas]])</f>
        <v>6.7810222154794944E-2</v>
      </c>
      <c r="P1343" s="837">
        <f>IF(Indicadores[[#This Row],[Ventas]]=0,0,Indicadores[[#This Row],[UAI]]/Indicadores[[#This Row],[Ventas]])</f>
        <v>4.993307305702116E-2</v>
      </c>
      <c r="Q1343" s="837">
        <f>IFERROR(Indicadores[[#This Row],[Ventas]]/Indicadores[[#This Row],[Activos totales]],0)</f>
        <v>1.1713840687917751</v>
      </c>
    </row>
    <row r="1344" spans="1:17" x14ac:dyDescent="0.3">
      <c r="A1344" s="13" t="str">
        <f>MID(Indicadores[[#This Row],[CIIU]],2,4)</f>
        <v>1393</v>
      </c>
      <c r="B1344" s="13" t="str">
        <f>Indicadores[[#This Row],[CIIU]]&amp;Indicadores[[#This Row],[Año]]</f>
        <v>C13932019</v>
      </c>
      <c r="C1344" s="845" t="s">
        <v>2279</v>
      </c>
      <c r="D1344" s="845" t="s">
        <v>2352</v>
      </c>
      <c r="E1344" s="843">
        <v>2019</v>
      </c>
      <c r="F1344" s="844" t="s">
        <v>2368</v>
      </c>
      <c r="G1344" s="842" t="s">
        <v>2369</v>
      </c>
      <c r="H1344" s="843" t="s">
        <v>2370</v>
      </c>
      <c r="I1344" s="842" t="s">
        <v>2369</v>
      </c>
      <c r="J1344" s="840">
        <v>-1791035</v>
      </c>
      <c r="K1344" s="840">
        <v>-746807</v>
      </c>
      <c r="L1344" s="841">
        <v>40231562</v>
      </c>
      <c r="M1344" s="840">
        <v>26957900</v>
      </c>
      <c r="N1344" s="839">
        <f>Indicadores[[#This Row],[Ventas]]/Indicadores[[#This Row],[Activos totales]]</f>
        <v>0.67006844029570611</v>
      </c>
      <c r="O1344" s="837">
        <f>IF(Indicadores[[#This Row],[Ventas]]=0,0,Indicadores[[#This Row],[EBITDA]]/Indicadores[[#This Row],[Ventas]])</f>
        <v>-2.7702714232191675E-2</v>
      </c>
      <c r="P1344" s="837">
        <f>IF(Indicadores[[#This Row],[Ventas]]=0,0,Indicadores[[#This Row],[UAI]]/Indicadores[[#This Row],[Ventas]])</f>
        <v>-6.6438224045641536E-2</v>
      </c>
      <c r="Q1344" s="837">
        <f>IFERROR(Indicadores[[#This Row],[Ventas]]/Indicadores[[#This Row],[Activos totales]],0)</f>
        <v>0.67006844029570611</v>
      </c>
    </row>
    <row r="1345" spans="1:17" x14ac:dyDescent="0.3">
      <c r="A1345" s="13" t="str">
        <f>MID(Indicadores[[#This Row],[CIIU]],2,4)</f>
        <v>1394</v>
      </c>
      <c r="B1345" s="13" t="str">
        <f>Indicadores[[#This Row],[CIIU]]&amp;Indicadores[[#This Row],[Año]]</f>
        <v>C13942019</v>
      </c>
      <c r="C1345" s="845" t="s">
        <v>2279</v>
      </c>
      <c r="D1345" s="845" t="s">
        <v>2352</v>
      </c>
      <c r="E1345" s="843">
        <v>2019</v>
      </c>
      <c r="F1345" s="844" t="s">
        <v>2371</v>
      </c>
      <c r="G1345" s="842" t="s">
        <v>2372</v>
      </c>
      <c r="H1345" s="843" t="s">
        <v>2373</v>
      </c>
      <c r="I1345" s="842" t="s">
        <v>2372</v>
      </c>
      <c r="J1345" s="840">
        <v>2204413</v>
      </c>
      <c r="K1345" s="840">
        <v>2274925</v>
      </c>
      <c r="L1345" s="841">
        <v>21030278</v>
      </c>
      <c r="M1345" s="840">
        <v>20358984</v>
      </c>
      <c r="N1345" s="839">
        <f>Indicadores[[#This Row],[Ventas]]/Indicadores[[#This Row],[Activos totales]]</f>
        <v>0.96807964212360864</v>
      </c>
      <c r="O1345" s="837">
        <f>IF(Indicadores[[#This Row],[Ventas]]=0,0,Indicadores[[#This Row],[EBITDA]]/Indicadores[[#This Row],[Ventas]])</f>
        <v>0.11174059569966753</v>
      </c>
      <c r="P1345" s="837">
        <f>IF(Indicadores[[#This Row],[Ventas]]=0,0,Indicadores[[#This Row],[UAI]]/Indicadores[[#This Row],[Ventas]])</f>
        <v>0.10827716157152047</v>
      </c>
      <c r="Q1345" s="837">
        <f>IFERROR(Indicadores[[#This Row],[Ventas]]/Indicadores[[#This Row],[Activos totales]],0)</f>
        <v>0.96807964212360864</v>
      </c>
    </row>
    <row r="1346" spans="1:17" x14ac:dyDescent="0.3">
      <c r="A1346" s="13" t="str">
        <f>MID(Indicadores[[#This Row],[CIIU]],2,4)</f>
        <v>1399</v>
      </c>
      <c r="B1346" s="13" t="str">
        <f>Indicadores[[#This Row],[CIIU]]&amp;Indicadores[[#This Row],[Año]]</f>
        <v>C13992019</v>
      </c>
      <c r="C1346" s="845" t="s">
        <v>2279</v>
      </c>
      <c r="D1346" s="845" t="s">
        <v>2352</v>
      </c>
      <c r="E1346" s="843">
        <v>2019</v>
      </c>
      <c r="F1346" s="844" t="s">
        <v>2374</v>
      </c>
      <c r="G1346" s="842" t="s">
        <v>2375</v>
      </c>
      <c r="H1346" s="843" t="s">
        <v>2376</v>
      </c>
      <c r="I1346" s="842" t="s">
        <v>2375</v>
      </c>
      <c r="J1346" s="840">
        <v>78252769</v>
      </c>
      <c r="K1346" s="840">
        <v>116751043</v>
      </c>
      <c r="L1346" s="841">
        <v>876122393</v>
      </c>
      <c r="M1346" s="840">
        <v>866199633</v>
      </c>
      <c r="N1346" s="839">
        <f>Indicadores[[#This Row],[Ventas]]/Indicadores[[#This Row],[Activos totales]]</f>
        <v>0.9886742308160591</v>
      </c>
      <c r="O1346" s="837">
        <f>IF(Indicadores[[#This Row],[Ventas]]=0,0,Indicadores[[#This Row],[EBITDA]]/Indicadores[[#This Row],[Ventas]])</f>
        <v>0.13478537574028274</v>
      </c>
      <c r="P1346" s="837">
        <f>IF(Indicadores[[#This Row],[Ventas]]=0,0,Indicadores[[#This Row],[UAI]]/Indicadores[[#This Row],[Ventas]])</f>
        <v>9.0340339592362776E-2</v>
      </c>
      <c r="Q1346" s="837">
        <f>IFERROR(Indicadores[[#This Row],[Ventas]]/Indicadores[[#This Row],[Activos totales]],0)</f>
        <v>0.9886742308160591</v>
      </c>
    </row>
    <row r="1347" spans="1:17" x14ac:dyDescent="0.3">
      <c r="A1347" s="13" t="str">
        <f>MID(Indicadores[[#This Row],[CIIU]],2,4)</f>
        <v>1410</v>
      </c>
      <c r="B1347" s="13" t="str">
        <f>Indicadores[[#This Row],[CIIU]]&amp;Indicadores[[#This Row],[Año]]</f>
        <v>C14102019</v>
      </c>
      <c r="C1347" s="845" t="s">
        <v>2279</v>
      </c>
      <c r="D1347" s="845" t="s">
        <v>2377</v>
      </c>
      <c r="E1347" s="843">
        <v>2019</v>
      </c>
      <c r="F1347" s="844" t="s">
        <v>2378</v>
      </c>
      <c r="G1347" s="842" t="s">
        <v>2379</v>
      </c>
      <c r="H1347" s="843" t="s">
        <v>2380</v>
      </c>
      <c r="I1347" s="842" t="s">
        <v>2379</v>
      </c>
      <c r="J1347" s="840">
        <v>346943397</v>
      </c>
      <c r="K1347" s="840">
        <v>710272206</v>
      </c>
      <c r="L1347" s="841">
        <v>8125726027</v>
      </c>
      <c r="M1347" s="840">
        <v>9053742660</v>
      </c>
      <c r="N1347" s="839">
        <f>Indicadores[[#This Row],[Ventas]]/Indicadores[[#This Row],[Activos totales]]</f>
        <v>1.1142072265193788</v>
      </c>
      <c r="O1347" s="837">
        <f>IF(Indicadores[[#This Row],[Ventas]]=0,0,Indicadores[[#This Row],[EBITDA]]/Indicadores[[#This Row],[Ventas]])</f>
        <v>7.8450673127482065E-2</v>
      </c>
      <c r="P1347" s="837">
        <f>IF(Indicadores[[#This Row],[Ventas]]=0,0,Indicadores[[#This Row],[UAI]]/Indicadores[[#This Row],[Ventas]])</f>
        <v>3.8320439405994777E-2</v>
      </c>
      <c r="Q1347" s="837">
        <f>IFERROR(Indicadores[[#This Row],[Ventas]]/Indicadores[[#This Row],[Activos totales]],0)</f>
        <v>1.1142072265193788</v>
      </c>
    </row>
    <row r="1348" spans="1:17" x14ac:dyDescent="0.3">
      <c r="A1348" s="13" t="str">
        <f>MID(Indicadores[[#This Row],[CIIU]],2,4)</f>
        <v>1420</v>
      </c>
      <c r="B1348" s="13" t="str">
        <f>Indicadores[[#This Row],[CIIU]]&amp;Indicadores[[#This Row],[Año]]</f>
        <v>C14202019</v>
      </c>
      <c r="C1348" s="845" t="s">
        <v>2279</v>
      </c>
      <c r="D1348" s="845" t="s">
        <v>2377</v>
      </c>
      <c r="E1348" s="843">
        <v>2019</v>
      </c>
      <c r="F1348" s="844" t="s">
        <v>2381</v>
      </c>
      <c r="G1348" s="842" t="s">
        <v>2382</v>
      </c>
      <c r="H1348" s="843" t="s">
        <v>2383</v>
      </c>
      <c r="I1348" s="842" t="s">
        <v>2382</v>
      </c>
      <c r="J1348" s="840">
        <v>2034562</v>
      </c>
      <c r="K1348" s="840">
        <v>3791933</v>
      </c>
      <c r="L1348" s="841">
        <v>118005459</v>
      </c>
      <c r="M1348" s="840">
        <v>113025278</v>
      </c>
      <c r="N1348" s="839">
        <f>Indicadores[[#This Row],[Ventas]]/Indicadores[[#This Row],[Activos totales]]</f>
        <v>0.95779702869508776</v>
      </c>
      <c r="O1348" s="837">
        <f>IF(Indicadores[[#This Row],[Ventas]]=0,0,Indicadores[[#This Row],[EBITDA]]/Indicadores[[#This Row],[Ventas]])</f>
        <v>3.3549424227029993E-2</v>
      </c>
      <c r="P1348" s="837">
        <f>IF(Indicadores[[#This Row],[Ventas]]=0,0,Indicadores[[#This Row],[UAI]]/Indicadores[[#This Row],[Ventas]])</f>
        <v>1.8000946655490641E-2</v>
      </c>
      <c r="Q1348" s="837">
        <f>IFERROR(Indicadores[[#This Row],[Ventas]]/Indicadores[[#This Row],[Activos totales]],0)</f>
        <v>0.95779702869508776</v>
      </c>
    </row>
    <row r="1349" spans="1:17" x14ac:dyDescent="0.3">
      <c r="A1349" s="13" t="str">
        <f>MID(Indicadores[[#This Row],[CIIU]],2,4)</f>
        <v>1430</v>
      </c>
      <c r="B1349" s="13" t="str">
        <f>Indicadores[[#This Row],[CIIU]]&amp;Indicadores[[#This Row],[Año]]</f>
        <v>C14302019</v>
      </c>
      <c r="C1349" s="845" t="s">
        <v>2279</v>
      </c>
      <c r="D1349" s="845" t="s">
        <v>2377</v>
      </c>
      <c r="E1349" s="843">
        <v>2019</v>
      </c>
      <c r="F1349" s="844" t="s">
        <v>2384</v>
      </c>
      <c r="G1349" s="842" t="s">
        <v>2385</v>
      </c>
      <c r="H1349" s="843" t="s">
        <v>2386</v>
      </c>
      <c r="I1349" s="842" t="s">
        <v>2385</v>
      </c>
      <c r="J1349" s="840">
        <v>1625987</v>
      </c>
      <c r="K1349" s="840">
        <v>1625987</v>
      </c>
      <c r="L1349" s="841">
        <v>15901973</v>
      </c>
      <c r="M1349" s="840">
        <v>17756168</v>
      </c>
      <c r="N1349" s="839">
        <f>Indicadores[[#This Row],[Ventas]]/Indicadores[[#This Row],[Activos totales]]</f>
        <v>1.1166015688745039</v>
      </c>
      <c r="O1349" s="837">
        <f>IF(Indicadores[[#This Row],[Ventas]]=0,0,Indicadores[[#This Row],[EBITDA]]/Indicadores[[#This Row],[Ventas]])</f>
        <v>9.1573080407889806E-2</v>
      </c>
      <c r="P1349" s="837">
        <f>IF(Indicadores[[#This Row],[Ventas]]=0,0,Indicadores[[#This Row],[UAI]]/Indicadores[[#This Row],[Ventas]])</f>
        <v>9.1573080407889806E-2</v>
      </c>
      <c r="Q1349" s="837">
        <f>IFERROR(Indicadores[[#This Row],[Ventas]]/Indicadores[[#This Row],[Activos totales]],0)</f>
        <v>1.1166015688745039</v>
      </c>
    </row>
    <row r="1350" spans="1:17" x14ac:dyDescent="0.3">
      <c r="A1350" s="13" t="str">
        <f>MID(Indicadores[[#This Row],[CIIU]],2,4)</f>
        <v>1511</v>
      </c>
      <c r="B1350" s="13" t="str">
        <f>Indicadores[[#This Row],[CIIU]]&amp;Indicadores[[#This Row],[Año]]</f>
        <v>C15112019</v>
      </c>
      <c r="C1350" s="845" t="s">
        <v>2279</v>
      </c>
      <c r="D1350" s="845" t="s">
        <v>2387</v>
      </c>
      <c r="E1350" s="843">
        <v>2019</v>
      </c>
      <c r="F1350" s="844" t="s">
        <v>2388</v>
      </c>
      <c r="G1350" s="842" t="s">
        <v>2389</v>
      </c>
      <c r="H1350" s="843" t="s">
        <v>2390</v>
      </c>
      <c r="I1350" s="842" t="s">
        <v>2389</v>
      </c>
      <c r="J1350" s="840">
        <v>1580518</v>
      </c>
      <c r="K1350" s="840">
        <v>6916702</v>
      </c>
      <c r="L1350" s="841">
        <v>423609995</v>
      </c>
      <c r="M1350" s="840">
        <v>217829613</v>
      </c>
      <c r="N1350" s="839">
        <f>Indicadores[[#This Row],[Ventas]]/Indicadores[[#This Row],[Activos totales]]</f>
        <v>0.51422208061922614</v>
      </c>
      <c r="O1350" s="837">
        <f>IF(Indicadores[[#This Row],[Ventas]]=0,0,Indicadores[[#This Row],[EBITDA]]/Indicadores[[#This Row],[Ventas]])</f>
        <v>3.1752808558678382E-2</v>
      </c>
      <c r="P1350" s="837">
        <f>IF(Indicadores[[#This Row],[Ventas]]=0,0,Indicadores[[#This Row],[UAI]]/Indicadores[[#This Row],[Ventas]])</f>
        <v>7.2557536059158307E-3</v>
      </c>
      <c r="Q1350" s="837">
        <f>IFERROR(Indicadores[[#This Row],[Ventas]]/Indicadores[[#This Row],[Activos totales]],0)</f>
        <v>0.51422208061922614</v>
      </c>
    </row>
    <row r="1351" spans="1:17" x14ac:dyDescent="0.3">
      <c r="A1351" s="13" t="str">
        <f>MID(Indicadores[[#This Row],[CIIU]],2,4)</f>
        <v>1512</v>
      </c>
      <c r="B1351" s="13" t="str">
        <f>Indicadores[[#This Row],[CIIU]]&amp;Indicadores[[#This Row],[Año]]</f>
        <v>C15122019</v>
      </c>
      <c r="C1351" s="845" t="s">
        <v>2279</v>
      </c>
      <c r="D1351" s="845" t="s">
        <v>2387</v>
      </c>
      <c r="E1351" s="843">
        <v>2019</v>
      </c>
      <c r="F1351" s="844" t="s">
        <v>2391</v>
      </c>
      <c r="G1351" s="842" t="s">
        <v>2392</v>
      </c>
      <c r="H1351" s="843" t="s">
        <v>2393</v>
      </c>
      <c r="I1351" s="842" t="s">
        <v>2392</v>
      </c>
      <c r="J1351" s="840">
        <v>18504061</v>
      </c>
      <c r="K1351" s="840">
        <v>26423732</v>
      </c>
      <c r="L1351" s="841">
        <v>246608052</v>
      </c>
      <c r="M1351" s="840">
        <v>192560573</v>
      </c>
      <c r="N1351" s="839">
        <f>Indicadores[[#This Row],[Ventas]]/Indicadores[[#This Row],[Activos totales]]</f>
        <v>0.78083651948234034</v>
      </c>
      <c r="O1351" s="837">
        <f>IF(Indicadores[[#This Row],[Ventas]]=0,0,Indicadores[[#This Row],[EBITDA]]/Indicadores[[#This Row],[Ventas]])</f>
        <v>0.137222961005626</v>
      </c>
      <c r="P1351" s="837">
        <f>IF(Indicadores[[#This Row],[Ventas]]=0,0,Indicadores[[#This Row],[UAI]]/Indicadores[[#This Row],[Ventas]])</f>
        <v>9.6094754558089107E-2</v>
      </c>
      <c r="Q1351" s="837">
        <f>IFERROR(Indicadores[[#This Row],[Ventas]]/Indicadores[[#This Row],[Activos totales]],0)</f>
        <v>0.78083651948234034</v>
      </c>
    </row>
    <row r="1352" spans="1:17" x14ac:dyDescent="0.3">
      <c r="A1352" s="13" t="str">
        <f>MID(Indicadores[[#This Row],[CIIU]],2,4)</f>
        <v>1513</v>
      </c>
      <c r="B1352" s="13" t="str">
        <f>Indicadores[[#This Row],[CIIU]]&amp;Indicadores[[#This Row],[Año]]</f>
        <v>C15132019</v>
      </c>
      <c r="C1352" s="845" t="s">
        <v>2279</v>
      </c>
      <c r="D1352" s="845" t="s">
        <v>2387</v>
      </c>
      <c r="E1352" s="843">
        <v>2019</v>
      </c>
      <c r="F1352" s="844" t="s">
        <v>2394</v>
      </c>
      <c r="G1352" s="842" t="s">
        <v>2395</v>
      </c>
      <c r="H1352" s="843" t="s">
        <v>2396</v>
      </c>
      <c r="I1352" s="842" t="s">
        <v>2395</v>
      </c>
      <c r="J1352" s="840">
        <v>28347345</v>
      </c>
      <c r="K1352" s="840">
        <v>63101057</v>
      </c>
      <c r="L1352" s="841">
        <v>502111569</v>
      </c>
      <c r="M1352" s="840">
        <v>551611215</v>
      </c>
      <c r="N1352" s="839">
        <f>Indicadores[[#This Row],[Ventas]]/Indicadores[[#This Row],[Activos totales]]</f>
        <v>1.0985829625447248</v>
      </c>
      <c r="O1352" s="837">
        <f>IF(Indicadores[[#This Row],[Ventas]]=0,0,Indicadores[[#This Row],[EBITDA]]/Indicadores[[#This Row],[Ventas]])</f>
        <v>0.11439407917041716</v>
      </c>
      <c r="P1352" s="837">
        <f>IF(Indicadores[[#This Row],[Ventas]]=0,0,Indicadores[[#This Row],[UAI]]/Indicadores[[#This Row],[Ventas]])</f>
        <v>5.1390080964905688E-2</v>
      </c>
      <c r="Q1352" s="837">
        <f>IFERROR(Indicadores[[#This Row],[Ventas]]/Indicadores[[#This Row],[Activos totales]],0)</f>
        <v>1.0985829625447248</v>
      </c>
    </row>
    <row r="1353" spans="1:17" x14ac:dyDescent="0.3">
      <c r="A1353" s="13" t="str">
        <f>MID(Indicadores[[#This Row],[CIIU]],2,4)</f>
        <v>1521</v>
      </c>
      <c r="B1353" s="13" t="str">
        <f>Indicadores[[#This Row],[CIIU]]&amp;Indicadores[[#This Row],[Año]]</f>
        <v>C15212019</v>
      </c>
      <c r="C1353" s="845" t="s">
        <v>2279</v>
      </c>
      <c r="D1353" s="845" t="s">
        <v>2387</v>
      </c>
      <c r="E1353" s="843">
        <v>2019</v>
      </c>
      <c r="F1353" s="844" t="s">
        <v>2397</v>
      </c>
      <c r="G1353" s="842" t="s">
        <v>2398</v>
      </c>
      <c r="H1353" s="843" t="s">
        <v>2399</v>
      </c>
      <c r="I1353" s="842" t="s">
        <v>2398</v>
      </c>
      <c r="J1353" s="840">
        <v>40930679</v>
      </c>
      <c r="K1353" s="840">
        <v>67402301</v>
      </c>
      <c r="L1353" s="841">
        <v>1002972121</v>
      </c>
      <c r="M1353" s="840">
        <v>990247225</v>
      </c>
      <c r="N1353" s="839">
        <f>Indicadores[[#This Row],[Ventas]]/Indicadores[[#This Row],[Activos totales]]</f>
        <v>0.98731281185830688</v>
      </c>
      <c r="O1353" s="837">
        <f>IF(Indicadores[[#This Row],[Ventas]]=0,0,Indicadores[[#This Row],[EBITDA]]/Indicadores[[#This Row],[Ventas]])</f>
        <v>6.8066134696817757E-2</v>
      </c>
      <c r="P1353" s="837">
        <f>IF(Indicadores[[#This Row],[Ventas]]=0,0,Indicadores[[#This Row],[UAI]]/Indicadores[[#This Row],[Ventas]])</f>
        <v>4.1333798234072301E-2</v>
      </c>
      <c r="Q1353" s="837">
        <f>IFERROR(Indicadores[[#This Row],[Ventas]]/Indicadores[[#This Row],[Activos totales]],0)</f>
        <v>0.98731281185830688</v>
      </c>
    </row>
    <row r="1354" spans="1:17" x14ac:dyDescent="0.3">
      <c r="A1354" s="13" t="str">
        <f>MID(Indicadores[[#This Row],[CIIU]],2,4)</f>
        <v>1522</v>
      </c>
      <c r="B1354" s="13" t="str">
        <f>Indicadores[[#This Row],[CIIU]]&amp;Indicadores[[#This Row],[Año]]</f>
        <v>C15222019</v>
      </c>
      <c r="C1354" s="845" t="s">
        <v>2279</v>
      </c>
      <c r="D1354" s="845" t="s">
        <v>2387</v>
      </c>
      <c r="E1354" s="843">
        <v>2019</v>
      </c>
      <c r="F1354" s="844" t="s">
        <v>2400</v>
      </c>
      <c r="G1354" s="842" t="s">
        <v>2401</v>
      </c>
      <c r="H1354" s="843" t="s">
        <v>2402</v>
      </c>
      <c r="I1354" s="842" t="s">
        <v>2401</v>
      </c>
      <c r="J1354" s="840">
        <v>380636</v>
      </c>
      <c r="K1354" s="840">
        <v>43946455</v>
      </c>
      <c r="L1354" s="841">
        <v>529672471</v>
      </c>
      <c r="M1354" s="840">
        <v>739274904</v>
      </c>
      <c r="N1354" s="839">
        <f>Indicadores[[#This Row],[Ventas]]/Indicadores[[#This Row],[Activos totales]]</f>
        <v>1.395720835942784</v>
      </c>
      <c r="O1354" s="837">
        <f>IF(Indicadores[[#This Row],[Ventas]]=0,0,Indicadores[[#This Row],[EBITDA]]/Indicadores[[#This Row],[Ventas]])</f>
        <v>5.9445349439320345E-2</v>
      </c>
      <c r="P1354" s="837">
        <f>IF(Indicadores[[#This Row],[Ventas]]=0,0,Indicadores[[#This Row],[UAI]]/Indicadores[[#This Row],[Ventas]])</f>
        <v>5.1487748054274542E-4</v>
      </c>
      <c r="Q1354" s="837">
        <f>IFERROR(Indicadores[[#This Row],[Ventas]]/Indicadores[[#This Row],[Activos totales]],0)</f>
        <v>1.395720835942784</v>
      </c>
    </row>
    <row r="1355" spans="1:17" x14ac:dyDescent="0.3">
      <c r="A1355" s="13" t="str">
        <f>MID(Indicadores[[#This Row],[CIIU]],2,4)</f>
        <v>1523</v>
      </c>
      <c r="B1355" s="13" t="str">
        <f>Indicadores[[#This Row],[CIIU]]&amp;Indicadores[[#This Row],[Año]]</f>
        <v>C15232019</v>
      </c>
      <c r="C1355" s="845" t="s">
        <v>2279</v>
      </c>
      <c r="D1355" s="845" t="s">
        <v>2387</v>
      </c>
      <c r="E1355" s="843">
        <v>2019</v>
      </c>
      <c r="F1355" s="844" t="s">
        <v>2403</v>
      </c>
      <c r="G1355" s="842" t="s">
        <v>2404</v>
      </c>
      <c r="H1355" s="843" t="s">
        <v>2405</v>
      </c>
      <c r="I1355" s="842" t="s">
        <v>2404</v>
      </c>
      <c r="J1355" s="840">
        <v>3208066</v>
      </c>
      <c r="K1355" s="840">
        <v>4356013</v>
      </c>
      <c r="L1355" s="841">
        <v>47731764</v>
      </c>
      <c r="M1355" s="840">
        <v>44048418</v>
      </c>
      <c r="N1355" s="839">
        <f>Indicadores[[#This Row],[Ventas]]/Indicadores[[#This Row],[Activos totales]]</f>
        <v>0.92283239312085763</v>
      </c>
      <c r="O1355" s="837">
        <f>IF(Indicadores[[#This Row],[Ventas]]=0,0,Indicadores[[#This Row],[EBITDA]]/Indicadores[[#This Row],[Ventas]])</f>
        <v>9.8891474377127461E-2</v>
      </c>
      <c r="P1355" s="837">
        <f>IF(Indicadores[[#This Row],[Ventas]]=0,0,Indicadores[[#This Row],[UAI]]/Indicadores[[#This Row],[Ventas]])</f>
        <v>7.2830447622432209E-2</v>
      </c>
      <c r="Q1355" s="837">
        <f>IFERROR(Indicadores[[#This Row],[Ventas]]/Indicadores[[#This Row],[Activos totales]],0)</f>
        <v>0.92283239312085763</v>
      </c>
    </row>
    <row r="1356" spans="1:17" x14ac:dyDescent="0.3">
      <c r="A1356" s="13" t="str">
        <f>MID(Indicadores[[#This Row],[CIIU]],2,4)</f>
        <v>1610</v>
      </c>
      <c r="B1356" s="13" t="str">
        <f>Indicadores[[#This Row],[CIIU]]&amp;Indicadores[[#This Row],[Año]]</f>
        <v>C16102019</v>
      </c>
      <c r="C1356" s="845" t="s">
        <v>2279</v>
      </c>
      <c r="D1356" s="845" t="s">
        <v>2406</v>
      </c>
      <c r="E1356" s="843">
        <v>2019</v>
      </c>
      <c r="F1356" s="844" t="s">
        <v>2407</v>
      </c>
      <c r="G1356" s="842" t="s">
        <v>2408</v>
      </c>
      <c r="H1356" s="843" t="s">
        <v>2409</v>
      </c>
      <c r="I1356" s="842" t="s">
        <v>2408</v>
      </c>
      <c r="J1356" s="840">
        <v>24998845</v>
      </c>
      <c r="K1356" s="840">
        <v>31255755</v>
      </c>
      <c r="L1356" s="841">
        <v>517665036</v>
      </c>
      <c r="M1356" s="840">
        <v>198171334</v>
      </c>
      <c r="N1356" s="839">
        <f>Indicadores[[#This Row],[Ventas]]/Indicadores[[#This Row],[Activos totales]]</f>
        <v>0.38281769139996547</v>
      </c>
      <c r="O1356" s="837">
        <f>IF(Indicadores[[#This Row],[Ventas]]=0,0,Indicadores[[#This Row],[EBITDA]]/Indicadores[[#This Row],[Ventas]])</f>
        <v>0.1577208689527215</v>
      </c>
      <c r="P1356" s="837">
        <f>IF(Indicadores[[#This Row],[Ventas]]=0,0,Indicadores[[#This Row],[UAI]]/Indicadores[[#This Row],[Ventas]])</f>
        <v>0.12614763445050028</v>
      </c>
      <c r="Q1356" s="837">
        <f>IFERROR(Indicadores[[#This Row],[Ventas]]/Indicadores[[#This Row],[Activos totales]],0)</f>
        <v>0.38281769139996547</v>
      </c>
    </row>
    <row r="1357" spans="1:17" x14ac:dyDescent="0.3">
      <c r="A1357" s="13" t="str">
        <f>MID(Indicadores[[#This Row],[CIIU]],2,4)</f>
        <v>1620</v>
      </c>
      <c r="B1357" s="13" t="str">
        <f>Indicadores[[#This Row],[CIIU]]&amp;Indicadores[[#This Row],[Año]]</f>
        <v>C16202019</v>
      </c>
      <c r="C1357" s="845" t="s">
        <v>2279</v>
      </c>
      <c r="D1357" s="845" t="s">
        <v>2406</v>
      </c>
      <c r="E1357" s="843">
        <v>2019</v>
      </c>
      <c r="F1357" s="844" t="s">
        <v>2410</v>
      </c>
      <c r="G1357" s="842" t="s">
        <v>2411</v>
      </c>
      <c r="H1357" s="843" t="s">
        <v>2412</v>
      </c>
      <c r="I1357" s="842" t="s">
        <v>2411</v>
      </c>
      <c r="J1357" s="840">
        <v>71562948</v>
      </c>
      <c r="K1357" s="840">
        <v>96975048</v>
      </c>
      <c r="L1357" s="841">
        <v>1184751786</v>
      </c>
      <c r="M1357" s="840">
        <v>536427786</v>
      </c>
      <c r="N1357" s="839">
        <f>Indicadores[[#This Row],[Ventas]]/Indicadores[[#This Row],[Activos totales]]</f>
        <v>0.45277651600856078</v>
      </c>
      <c r="O1357" s="837">
        <f>IF(Indicadores[[#This Row],[Ventas]]=0,0,Indicadores[[#This Row],[EBITDA]]/Indicadores[[#This Row],[Ventas]])</f>
        <v>0.18077931555916829</v>
      </c>
      <c r="P1357" s="837">
        <f>IF(Indicadores[[#This Row],[Ventas]]=0,0,Indicadores[[#This Row],[UAI]]/Indicadores[[#This Row],[Ventas]])</f>
        <v>0.13340648987187251</v>
      </c>
      <c r="Q1357" s="837">
        <f>IFERROR(Indicadores[[#This Row],[Ventas]]/Indicadores[[#This Row],[Activos totales]],0)</f>
        <v>0.45277651600856078</v>
      </c>
    </row>
    <row r="1358" spans="1:17" x14ac:dyDescent="0.3">
      <c r="A1358" s="13" t="str">
        <f>MID(Indicadores[[#This Row],[CIIU]],2,4)</f>
        <v>1630</v>
      </c>
      <c r="B1358" s="13" t="str">
        <f>Indicadores[[#This Row],[CIIU]]&amp;Indicadores[[#This Row],[Año]]</f>
        <v>C16302019</v>
      </c>
      <c r="C1358" s="845" t="s">
        <v>2279</v>
      </c>
      <c r="D1358" s="845" t="s">
        <v>2406</v>
      </c>
      <c r="E1358" s="843">
        <v>2019</v>
      </c>
      <c r="F1358" s="844" t="s">
        <v>2413</v>
      </c>
      <c r="G1358" s="842" t="s">
        <v>2414</v>
      </c>
      <c r="H1358" s="843" t="s">
        <v>2415</v>
      </c>
      <c r="I1358" s="842" t="s">
        <v>2414</v>
      </c>
      <c r="J1358" s="840">
        <v>5140829</v>
      </c>
      <c r="K1358" s="840">
        <v>7623612</v>
      </c>
      <c r="L1358" s="841">
        <v>160002518</v>
      </c>
      <c r="M1358" s="840">
        <v>132379709</v>
      </c>
      <c r="N1358" s="839">
        <f>Indicadores[[#This Row],[Ventas]]/Indicadores[[#This Row],[Activos totales]]</f>
        <v>0.82736016066947149</v>
      </c>
      <c r="O1358" s="837">
        <f>IF(Indicadores[[#This Row],[Ventas]]=0,0,Indicadores[[#This Row],[EBITDA]]/Indicadores[[#This Row],[Ventas]])</f>
        <v>5.758897687258098E-2</v>
      </c>
      <c r="P1358" s="837">
        <f>IF(Indicadores[[#This Row],[Ventas]]=0,0,Indicadores[[#This Row],[UAI]]/Indicadores[[#This Row],[Ventas]])</f>
        <v>3.8833965105634125E-2</v>
      </c>
      <c r="Q1358" s="837">
        <f>IFERROR(Indicadores[[#This Row],[Ventas]]/Indicadores[[#This Row],[Activos totales]],0)</f>
        <v>0.82736016066947149</v>
      </c>
    </row>
    <row r="1359" spans="1:17" x14ac:dyDescent="0.3">
      <c r="A1359" s="13" t="str">
        <f>MID(Indicadores[[#This Row],[CIIU]],2,4)</f>
        <v>1640</v>
      </c>
      <c r="B1359" s="13" t="str">
        <f>Indicadores[[#This Row],[CIIU]]&amp;Indicadores[[#This Row],[Año]]</f>
        <v>C16402019</v>
      </c>
      <c r="C1359" s="845" t="s">
        <v>2279</v>
      </c>
      <c r="D1359" s="845" t="s">
        <v>2406</v>
      </c>
      <c r="E1359" s="843">
        <v>2019</v>
      </c>
      <c r="F1359" s="844" t="s">
        <v>2416</v>
      </c>
      <c r="G1359" s="842" t="s">
        <v>2417</v>
      </c>
      <c r="H1359" s="843" t="s">
        <v>2418</v>
      </c>
      <c r="I1359" s="842" t="s">
        <v>2417</v>
      </c>
      <c r="J1359" s="840">
        <v>1824936</v>
      </c>
      <c r="K1359" s="840">
        <v>2155040</v>
      </c>
      <c r="L1359" s="841">
        <v>14511411</v>
      </c>
      <c r="M1359" s="840">
        <v>17003332</v>
      </c>
      <c r="N1359" s="839">
        <f>Indicadores[[#This Row],[Ventas]]/Indicadores[[#This Row],[Activos totales]]</f>
        <v>1.1717214818049051</v>
      </c>
      <c r="O1359" s="837">
        <f>IF(Indicadores[[#This Row],[Ventas]]=0,0,Indicadores[[#This Row],[EBITDA]]/Indicadores[[#This Row],[Ventas]])</f>
        <v>0.12674221734892901</v>
      </c>
      <c r="P1359" s="837">
        <f>IF(Indicadores[[#This Row],[Ventas]]=0,0,Indicadores[[#This Row],[UAI]]/Indicadores[[#This Row],[Ventas]])</f>
        <v>0.10732814015511784</v>
      </c>
      <c r="Q1359" s="837">
        <f>IFERROR(Indicadores[[#This Row],[Ventas]]/Indicadores[[#This Row],[Activos totales]],0)</f>
        <v>1.1717214818049051</v>
      </c>
    </row>
    <row r="1360" spans="1:17" x14ac:dyDescent="0.3">
      <c r="A1360" s="13" t="str">
        <f>MID(Indicadores[[#This Row],[CIIU]],2,4)</f>
        <v>1690</v>
      </c>
      <c r="B1360" s="13" t="str">
        <f>Indicadores[[#This Row],[CIIU]]&amp;Indicadores[[#This Row],[Año]]</f>
        <v>C16902019</v>
      </c>
      <c r="C1360" s="845" t="s">
        <v>2279</v>
      </c>
      <c r="D1360" s="845" t="s">
        <v>2406</v>
      </c>
      <c r="E1360" s="843">
        <v>2019</v>
      </c>
      <c r="F1360" s="844" t="s">
        <v>2419</v>
      </c>
      <c r="G1360" s="842" t="s">
        <v>2420</v>
      </c>
      <c r="H1360" s="843" t="s">
        <v>2421</v>
      </c>
      <c r="I1360" s="842" t="s">
        <v>2420</v>
      </c>
      <c r="J1360" s="840">
        <v>2281731</v>
      </c>
      <c r="K1360" s="840">
        <v>2568487</v>
      </c>
      <c r="L1360" s="841">
        <v>60412898</v>
      </c>
      <c r="M1360" s="840">
        <v>19055630</v>
      </c>
      <c r="N1360" s="839">
        <f>Indicadores[[#This Row],[Ventas]]/Indicadores[[#This Row],[Activos totales]]</f>
        <v>0.31542320648150335</v>
      </c>
      <c r="O1360" s="837">
        <f>IF(Indicadores[[#This Row],[Ventas]]=0,0,Indicadores[[#This Row],[EBITDA]]/Indicadores[[#This Row],[Ventas]])</f>
        <v>0.13478887866735448</v>
      </c>
      <c r="P1360" s="837">
        <f>IF(Indicadores[[#This Row],[Ventas]]=0,0,Indicadores[[#This Row],[UAI]]/Indicadores[[#This Row],[Ventas]])</f>
        <v>0.11974051763179701</v>
      </c>
      <c r="Q1360" s="837">
        <f>IFERROR(Indicadores[[#This Row],[Ventas]]/Indicadores[[#This Row],[Activos totales]],0)</f>
        <v>0.31542320648150335</v>
      </c>
    </row>
    <row r="1361" spans="1:17" x14ac:dyDescent="0.3">
      <c r="A1361" s="13" t="str">
        <f>MID(Indicadores[[#This Row],[CIIU]],2,4)</f>
        <v>1701</v>
      </c>
      <c r="B1361" s="13" t="str">
        <f>Indicadores[[#This Row],[CIIU]]&amp;Indicadores[[#This Row],[Año]]</f>
        <v>C17012019</v>
      </c>
      <c r="C1361" s="845" t="s">
        <v>2279</v>
      </c>
      <c r="D1361" s="845" t="s">
        <v>2422</v>
      </c>
      <c r="E1361" s="843">
        <v>2019</v>
      </c>
      <c r="F1361" s="844" t="s">
        <v>2423</v>
      </c>
      <c r="G1361" s="842" t="s">
        <v>2424</v>
      </c>
      <c r="H1361" s="843" t="s">
        <v>2425</v>
      </c>
      <c r="I1361" s="842" t="s">
        <v>2424</v>
      </c>
      <c r="J1361" s="840">
        <v>36566384</v>
      </c>
      <c r="K1361" s="840">
        <v>87367152</v>
      </c>
      <c r="L1361" s="841">
        <v>1338213412</v>
      </c>
      <c r="M1361" s="840">
        <v>995793105</v>
      </c>
      <c r="N1361" s="839">
        <f>Indicadores[[#This Row],[Ventas]]/Indicadores[[#This Row],[Activos totales]]</f>
        <v>0.74412130088560191</v>
      </c>
      <c r="O1361" s="837">
        <f>IF(Indicadores[[#This Row],[Ventas]]=0,0,Indicadores[[#This Row],[EBITDA]]/Indicadores[[#This Row],[Ventas]])</f>
        <v>8.7736249188027873E-2</v>
      </c>
      <c r="P1361" s="837">
        <f>IF(Indicadores[[#This Row],[Ventas]]=0,0,Indicadores[[#This Row],[UAI]]/Indicadores[[#This Row],[Ventas]])</f>
        <v>3.6720864822617945E-2</v>
      </c>
      <c r="Q1361" s="837">
        <f>IFERROR(Indicadores[[#This Row],[Ventas]]/Indicadores[[#This Row],[Activos totales]],0)</f>
        <v>0.74412130088560191</v>
      </c>
    </row>
    <row r="1362" spans="1:17" x14ac:dyDescent="0.3">
      <c r="A1362" s="13" t="str">
        <f>MID(Indicadores[[#This Row],[CIIU]],2,4)</f>
        <v>1702</v>
      </c>
      <c r="B1362" s="13" t="str">
        <f>Indicadores[[#This Row],[CIIU]]&amp;Indicadores[[#This Row],[Año]]</f>
        <v>C17022019</v>
      </c>
      <c r="C1362" s="845" t="s">
        <v>2279</v>
      </c>
      <c r="D1362" s="845" t="s">
        <v>2422</v>
      </c>
      <c r="E1362" s="843">
        <v>2019</v>
      </c>
      <c r="F1362" s="844" t="s">
        <v>2426</v>
      </c>
      <c r="G1362" s="842" t="s">
        <v>2427</v>
      </c>
      <c r="H1362" s="843" t="s">
        <v>2428</v>
      </c>
      <c r="I1362" s="842" t="s">
        <v>2429</v>
      </c>
      <c r="J1362" s="840">
        <v>246745890</v>
      </c>
      <c r="K1362" s="840">
        <v>331418413</v>
      </c>
      <c r="L1362" s="841">
        <v>3328920128</v>
      </c>
      <c r="M1362" s="840">
        <v>2676963262</v>
      </c>
      <c r="N1362" s="839">
        <f>Indicadores[[#This Row],[Ventas]]/Indicadores[[#This Row],[Activos totales]]</f>
        <v>0.80415364714932569</v>
      </c>
      <c r="O1362" s="837">
        <f>IF(Indicadores[[#This Row],[Ventas]]=0,0,Indicadores[[#This Row],[EBITDA]]/Indicadores[[#This Row],[Ventas]])</f>
        <v>0.12380387049181701</v>
      </c>
      <c r="P1362" s="837">
        <f>IF(Indicadores[[#This Row],[Ventas]]=0,0,Indicadores[[#This Row],[UAI]]/Indicadores[[#This Row],[Ventas]])</f>
        <v>9.2173805110665724E-2</v>
      </c>
      <c r="Q1362" s="837">
        <f>IFERROR(Indicadores[[#This Row],[Ventas]]/Indicadores[[#This Row],[Activos totales]],0)</f>
        <v>0.80415364714932569</v>
      </c>
    </row>
    <row r="1363" spans="1:17" x14ac:dyDescent="0.3">
      <c r="A1363" s="13" t="str">
        <f>MID(Indicadores[[#This Row],[CIIU]],2,4)</f>
        <v>1709</v>
      </c>
      <c r="B1363" s="13" t="str">
        <f>Indicadores[[#This Row],[CIIU]]&amp;Indicadores[[#This Row],[Año]]</f>
        <v>C17092019</v>
      </c>
      <c r="C1363" s="845" t="s">
        <v>2279</v>
      </c>
      <c r="D1363" s="845" t="s">
        <v>2422</v>
      </c>
      <c r="E1363" s="843">
        <v>2019</v>
      </c>
      <c r="F1363" s="844" t="s">
        <v>2430</v>
      </c>
      <c r="G1363" s="842" t="s">
        <v>2431</v>
      </c>
      <c r="H1363" s="843" t="s">
        <v>2432</v>
      </c>
      <c r="I1363" s="842" t="s">
        <v>2431</v>
      </c>
      <c r="J1363" s="840">
        <v>358873128</v>
      </c>
      <c r="K1363" s="840">
        <v>523415944</v>
      </c>
      <c r="L1363" s="841">
        <v>5728908211</v>
      </c>
      <c r="M1363" s="840">
        <v>5297641222</v>
      </c>
      <c r="N1363" s="839">
        <f>Indicadores[[#This Row],[Ventas]]/Indicadores[[#This Row],[Activos totales]]</f>
        <v>0.92472091136458945</v>
      </c>
      <c r="O1363" s="837">
        <f>IF(Indicadores[[#This Row],[Ventas]]=0,0,Indicadores[[#This Row],[EBITDA]]/Indicadores[[#This Row],[Ventas]])</f>
        <v>9.8801697220710735E-2</v>
      </c>
      <c r="P1363" s="837">
        <f>IF(Indicadores[[#This Row],[Ventas]]=0,0,Indicadores[[#This Row],[UAI]]/Indicadores[[#This Row],[Ventas]])</f>
        <v>6.774205971323137E-2</v>
      </c>
      <c r="Q1363" s="837">
        <f>IFERROR(Indicadores[[#This Row],[Ventas]]/Indicadores[[#This Row],[Activos totales]],0)</f>
        <v>0.92472091136458945</v>
      </c>
    </row>
    <row r="1364" spans="1:17" x14ac:dyDescent="0.3">
      <c r="A1364" s="13" t="str">
        <f>MID(Indicadores[[#This Row],[CIIU]],2,4)</f>
        <v>1811</v>
      </c>
      <c r="B1364" s="13" t="str">
        <f>Indicadores[[#This Row],[CIIU]]&amp;Indicadores[[#This Row],[Año]]</f>
        <v>C18112019</v>
      </c>
      <c r="C1364" s="845" t="s">
        <v>2279</v>
      </c>
      <c r="D1364" s="845" t="s">
        <v>2433</v>
      </c>
      <c r="E1364" s="843">
        <v>2019</v>
      </c>
      <c r="F1364" s="844" t="s">
        <v>2434</v>
      </c>
      <c r="G1364" s="842" t="s">
        <v>2435</v>
      </c>
      <c r="H1364" s="843" t="s">
        <v>2436</v>
      </c>
      <c r="I1364" s="842" t="s">
        <v>2435</v>
      </c>
      <c r="J1364" s="840">
        <v>223590281</v>
      </c>
      <c r="K1364" s="840">
        <v>326367622</v>
      </c>
      <c r="L1364" s="841">
        <v>2855742498</v>
      </c>
      <c r="M1364" s="840">
        <v>2407919452</v>
      </c>
      <c r="N1364" s="839">
        <f>Indicadores[[#This Row],[Ventas]]/Indicadores[[#This Row],[Activos totales]]</f>
        <v>0.84318507487505268</v>
      </c>
      <c r="O1364" s="837">
        <f>IF(Indicadores[[#This Row],[Ventas]]=0,0,Indicadores[[#This Row],[EBITDA]]/Indicadores[[#This Row],[Ventas]])</f>
        <v>0.13553926055496643</v>
      </c>
      <c r="P1364" s="837">
        <f>IF(Indicadores[[#This Row],[Ventas]]=0,0,Indicadores[[#This Row],[UAI]]/Indicadores[[#This Row],[Ventas]])</f>
        <v>9.2856212783316974E-2</v>
      </c>
      <c r="Q1364" s="837">
        <f>IFERROR(Indicadores[[#This Row],[Ventas]]/Indicadores[[#This Row],[Activos totales]],0)</f>
        <v>0.84318507487505268</v>
      </c>
    </row>
    <row r="1365" spans="1:17" x14ac:dyDescent="0.3">
      <c r="A1365" s="13" t="str">
        <f>MID(Indicadores[[#This Row],[CIIU]],2,4)</f>
        <v>1812</v>
      </c>
      <c r="B1365" s="13" t="str">
        <f>Indicadores[[#This Row],[CIIU]]&amp;Indicadores[[#This Row],[Año]]</f>
        <v>C18122019</v>
      </c>
      <c r="C1365" s="845" t="s">
        <v>2279</v>
      </c>
      <c r="D1365" s="845" t="s">
        <v>2433</v>
      </c>
      <c r="E1365" s="843">
        <v>2019</v>
      </c>
      <c r="F1365" s="844" t="s">
        <v>2437</v>
      </c>
      <c r="G1365" s="842" t="s">
        <v>2438</v>
      </c>
      <c r="H1365" s="843" t="s">
        <v>2439</v>
      </c>
      <c r="I1365" s="842" t="s">
        <v>2438</v>
      </c>
      <c r="J1365" s="840">
        <v>15498146</v>
      </c>
      <c r="K1365" s="840">
        <v>33031606</v>
      </c>
      <c r="L1365" s="841">
        <v>238001957</v>
      </c>
      <c r="M1365" s="840">
        <v>260020633</v>
      </c>
      <c r="N1365" s="839">
        <f>Indicadores[[#This Row],[Ventas]]/Indicadores[[#This Row],[Activos totales]]</f>
        <v>1.0925146846586644</v>
      </c>
      <c r="O1365" s="837">
        <f>IF(Indicadores[[#This Row],[Ventas]]=0,0,Indicadores[[#This Row],[EBITDA]]/Indicadores[[#This Row],[Ventas]])</f>
        <v>0.12703455729222843</v>
      </c>
      <c r="P1365" s="837">
        <f>IF(Indicadores[[#This Row],[Ventas]]=0,0,Indicadores[[#This Row],[UAI]]/Indicadores[[#This Row],[Ventas]])</f>
        <v>5.960352384804786E-2</v>
      </c>
      <c r="Q1365" s="837">
        <f>IFERROR(Indicadores[[#This Row],[Ventas]]/Indicadores[[#This Row],[Activos totales]],0)</f>
        <v>1.0925146846586644</v>
      </c>
    </row>
    <row r="1366" spans="1:17" x14ac:dyDescent="0.3">
      <c r="A1366" s="13" t="str">
        <f>MID(Indicadores[[#This Row],[CIIU]],2,4)</f>
        <v>1820</v>
      </c>
      <c r="B1366" s="13" t="str">
        <f>Indicadores[[#This Row],[CIIU]]&amp;Indicadores[[#This Row],[Año]]</f>
        <v>C18202019</v>
      </c>
      <c r="C1366" s="845" t="s">
        <v>2279</v>
      </c>
      <c r="D1366" s="845" t="s">
        <v>2433</v>
      </c>
      <c r="E1366" s="843">
        <v>2019</v>
      </c>
      <c r="F1366" s="844" t="s">
        <v>2440</v>
      </c>
      <c r="G1366" s="842" t="s">
        <v>2441</v>
      </c>
      <c r="H1366" s="843" t="s">
        <v>2442</v>
      </c>
      <c r="I1366" s="842" t="s">
        <v>2443</v>
      </c>
      <c r="J1366" s="840">
        <v>1323779</v>
      </c>
      <c r="K1366" s="840">
        <v>2161459</v>
      </c>
      <c r="L1366" s="841">
        <v>22204061</v>
      </c>
      <c r="M1366" s="840">
        <v>19880406</v>
      </c>
      <c r="N1366" s="839">
        <f>Indicadores[[#This Row],[Ventas]]/Indicadores[[#This Row],[Activos totales]]</f>
        <v>0.89534999926364822</v>
      </c>
      <c r="O1366" s="837">
        <f>IF(Indicadores[[#This Row],[Ventas]]=0,0,Indicadores[[#This Row],[EBITDA]]/Indicadores[[#This Row],[Ventas]])</f>
        <v>0.10872308140990682</v>
      </c>
      <c r="P1366" s="837">
        <f>IF(Indicadores[[#This Row],[Ventas]]=0,0,Indicadores[[#This Row],[UAI]]/Indicadores[[#This Row],[Ventas]])</f>
        <v>6.6587121007488481E-2</v>
      </c>
      <c r="Q1366" s="837">
        <f>IFERROR(Indicadores[[#This Row],[Ventas]]/Indicadores[[#This Row],[Activos totales]],0)</f>
        <v>0.89534999926364822</v>
      </c>
    </row>
    <row r="1367" spans="1:17" x14ac:dyDescent="0.3">
      <c r="A1367" s="13" t="str">
        <f>MID(Indicadores[[#This Row],[CIIU]],2,4)</f>
        <v>1910</v>
      </c>
      <c r="B1367" s="13" t="str">
        <f>Indicadores[[#This Row],[CIIU]]&amp;Indicadores[[#This Row],[Año]]</f>
        <v>C19102019</v>
      </c>
      <c r="C1367" s="845" t="s">
        <v>2279</v>
      </c>
      <c r="D1367" s="845" t="s">
        <v>2444</v>
      </c>
      <c r="E1367" s="843">
        <v>2019</v>
      </c>
      <c r="F1367" s="844" t="s">
        <v>2445</v>
      </c>
      <c r="G1367" s="842" t="s">
        <v>2446</v>
      </c>
      <c r="H1367" s="843" t="s">
        <v>2447</v>
      </c>
      <c r="I1367" s="842" t="s">
        <v>2446</v>
      </c>
      <c r="J1367" s="840">
        <v>79300931</v>
      </c>
      <c r="K1367" s="840">
        <v>97873982</v>
      </c>
      <c r="L1367" s="841">
        <v>923106664</v>
      </c>
      <c r="M1367" s="840">
        <v>1170219052</v>
      </c>
      <c r="N1367" s="839">
        <f>Indicadores[[#This Row],[Ventas]]/Indicadores[[#This Row],[Activos totales]]</f>
        <v>1.2676964619984588</v>
      </c>
      <c r="O1367" s="837">
        <f>IF(Indicadores[[#This Row],[Ventas]]=0,0,Indicadores[[#This Row],[EBITDA]]/Indicadores[[#This Row],[Ventas]])</f>
        <v>8.3637317161026709E-2</v>
      </c>
      <c r="P1367" s="837">
        <f>IF(Indicadores[[#This Row],[Ventas]]=0,0,Indicadores[[#This Row],[UAI]]/Indicadores[[#This Row],[Ventas]])</f>
        <v>6.776588610864627E-2</v>
      </c>
      <c r="Q1367" s="837">
        <f>IFERROR(Indicadores[[#This Row],[Ventas]]/Indicadores[[#This Row],[Activos totales]],0)</f>
        <v>1.2676964619984588</v>
      </c>
    </row>
    <row r="1368" spans="1:17" x14ac:dyDescent="0.3">
      <c r="A1368" s="13" t="str">
        <f>MID(Indicadores[[#This Row],[CIIU]],2,4)</f>
        <v>1921</v>
      </c>
      <c r="B1368" s="13" t="str">
        <f>Indicadores[[#This Row],[CIIU]]&amp;Indicadores[[#This Row],[Año]]</f>
        <v>C19212019</v>
      </c>
      <c r="C1368" s="845" t="s">
        <v>2279</v>
      </c>
      <c r="D1368" s="845" t="s">
        <v>2444</v>
      </c>
      <c r="E1368" s="843">
        <v>2019</v>
      </c>
      <c r="F1368" s="844" t="s">
        <v>2448</v>
      </c>
      <c r="G1368" s="842" t="s">
        <v>2449</v>
      </c>
      <c r="H1368" s="843" t="s">
        <v>2450</v>
      </c>
      <c r="I1368" s="842" t="s">
        <v>2449</v>
      </c>
      <c r="J1368" s="840">
        <v>85024713</v>
      </c>
      <c r="K1368" s="840">
        <v>958255528</v>
      </c>
      <c r="L1368" s="841">
        <v>29116240920</v>
      </c>
      <c r="M1368" s="840">
        <v>14114699585</v>
      </c>
      <c r="N1368" s="839">
        <f>Indicadores[[#This Row],[Ventas]]/Indicadores[[#This Row],[Activos totales]]</f>
        <v>0.48477066884360703</v>
      </c>
      <c r="O1368" s="837">
        <f>IF(Indicadores[[#This Row],[Ventas]]=0,0,Indicadores[[#This Row],[EBITDA]]/Indicadores[[#This Row],[Ventas]])</f>
        <v>6.7890607393327668E-2</v>
      </c>
      <c r="P1368" s="837">
        <f>IF(Indicadores[[#This Row],[Ventas]]=0,0,Indicadores[[#This Row],[UAI]]/Indicadores[[#This Row],[Ventas]])</f>
        <v>6.0238414914871889E-3</v>
      </c>
      <c r="Q1368" s="837">
        <f>IFERROR(Indicadores[[#This Row],[Ventas]]/Indicadores[[#This Row],[Activos totales]],0)</f>
        <v>0.48477066884360703</v>
      </c>
    </row>
    <row r="1369" spans="1:17" x14ac:dyDescent="0.3">
      <c r="A1369" s="13" t="str">
        <f>MID(Indicadores[[#This Row],[CIIU]],2,4)</f>
        <v>1922</v>
      </c>
      <c r="B1369" s="13" t="str">
        <f>Indicadores[[#This Row],[CIIU]]&amp;Indicadores[[#This Row],[Año]]</f>
        <v>C19222019</v>
      </c>
      <c r="C1369" s="845" t="s">
        <v>2279</v>
      </c>
      <c r="D1369" s="845" t="s">
        <v>2444</v>
      </c>
      <c r="E1369" s="843">
        <v>2019</v>
      </c>
      <c r="F1369" s="844" t="s">
        <v>3588</v>
      </c>
      <c r="G1369" s="842" t="s">
        <v>3589</v>
      </c>
      <c r="H1369" s="843" t="s">
        <v>3590</v>
      </c>
      <c r="I1369" s="842" t="s">
        <v>3589</v>
      </c>
      <c r="J1369" s="840">
        <v>4720331</v>
      </c>
      <c r="K1369" s="840">
        <v>5545776</v>
      </c>
      <c r="L1369" s="841">
        <v>28288529</v>
      </c>
      <c r="M1369" s="840">
        <v>33315573</v>
      </c>
      <c r="N1369" s="839">
        <f>Indicadores[[#This Row],[Ventas]]/Indicadores[[#This Row],[Activos totales]]</f>
        <v>1.1777060942263913</v>
      </c>
      <c r="O1369" s="837">
        <f>IF(Indicadores[[#This Row],[Ventas]]=0,0,Indicadores[[#This Row],[EBITDA]]/Indicadores[[#This Row],[Ventas]])</f>
        <v>0.16646197260362294</v>
      </c>
      <c r="P1369" s="837">
        <f>IF(Indicadores[[#This Row],[Ventas]]=0,0,Indicadores[[#This Row],[UAI]]/Indicadores[[#This Row],[Ventas]])</f>
        <v>0.14168542140938115</v>
      </c>
      <c r="Q1369" s="837">
        <f>IFERROR(Indicadores[[#This Row],[Ventas]]/Indicadores[[#This Row],[Activos totales]],0)</f>
        <v>1.1777060942263913</v>
      </c>
    </row>
    <row r="1370" spans="1:17" x14ac:dyDescent="0.3">
      <c r="A1370" s="13" t="str">
        <f>MID(Indicadores[[#This Row],[CIIU]],2,4)</f>
        <v>2011</v>
      </c>
      <c r="B1370" s="13" t="str">
        <f>Indicadores[[#This Row],[CIIU]]&amp;Indicadores[[#This Row],[Año]]</f>
        <v>C20112019</v>
      </c>
      <c r="C1370" s="845" t="s">
        <v>2279</v>
      </c>
      <c r="D1370" s="845" t="s">
        <v>2451</v>
      </c>
      <c r="E1370" s="843">
        <v>2019</v>
      </c>
      <c r="F1370" s="844" t="s">
        <v>2452</v>
      </c>
      <c r="G1370" s="842" t="s">
        <v>2453</v>
      </c>
      <c r="H1370" s="843" t="s">
        <v>2454</v>
      </c>
      <c r="I1370" s="842" t="s">
        <v>2453</v>
      </c>
      <c r="J1370" s="840">
        <v>220367458</v>
      </c>
      <c r="K1370" s="840">
        <v>382614083</v>
      </c>
      <c r="L1370" s="841">
        <v>3065721408</v>
      </c>
      <c r="M1370" s="840">
        <v>2537763008</v>
      </c>
      <c r="N1370" s="839">
        <f>Indicadores[[#This Row],[Ventas]]/Indicadores[[#This Row],[Activos totales]]</f>
        <v>0.82778656970516218</v>
      </c>
      <c r="O1370" s="837">
        <f>IF(Indicadores[[#This Row],[Ventas]]=0,0,Indicadores[[#This Row],[EBITDA]]/Indicadores[[#This Row],[Ventas]])</f>
        <v>0.15076824817520548</v>
      </c>
      <c r="P1370" s="837">
        <f>IF(Indicadores[[#This Row],[Ventas]]=0,0,Indicadores[[#This Row],[UAI]]/Indicadores[[#This Row],[Ventas]])</f>
        <v>8.683531807553245E-2</v>
      </c>
      <c r="Q1370" s="837">
        <f>IFERROR(Indicadores[[#This Row],[Ventas]]/Indicadores[[#This Row],[Activos totales]],0)</f>
        <v>0.82778656970516218</v>
      </c>
    </row>
    <row r="1371" spans="1:17" x14ac:dyDescent="0.3">
      <c r="A1371" s="13" t="str">
        <f>MID(Indicadores[[#This Row],[CIIU]],2,4)</f>
        <v>2012</v>
      </c>
      <c r="B1371" s="13" t="str">
        <f>Indicadores[[#This Row],[CIIU]]&amp;Indicadores[[#This Row],[Año]]</f>
        <v>C20122019</v>
      </c>
      <c r="C1371" s="845" t="s">
        <v>2279</v>
      </c>
      <c r="D1371" s="845" t="s">
        <v>2451</v>
      </c>
      <c r="E1371" s="843">
        <v>2019</v>
      </c>
      <c r="F1371" s="844" t="s">
        <v>2455</v>
      </c>
      <c r="G1371" s="842" t="s">
        <v>2456</v>
      </c>
      <c r="H1371" s="843" t="s">
        <v>2457</v>
      </c>
      <c r="I1371" s="842" t="s">
        <v>2456</v>
      </c>
      <c r="J1371" s="840">
        <v>68457152</v>
      </c>
      <c r="K1371" s="840">
        <v>184300158</v>
      </c>
      <c r="L1371" s="841">
        <v>3246564383</v>
      </c>
      <c r="M1371" s="840">
        <v>3121378571</v>
      </c>
      <c r="N1371" s="839">
        <f>Indicadores[[#This Row],[Ventas]]/Indicadores[[#This Row],[Activos totales]]</f>
        <v>0.96144052689806148</v>
      </c>
      <c r="O1371" s="837">
        <f>IF(Indicadores[[#This Row],[Ventas]]=0,0,Indicadores[[#This Row],[EBITDA]]/Indicadores[[#This Row],[Ventas]])</f>
        <v>5.9044474679325915E-2</v>
      </c>
      <c r="P1371" s="837">
        <f>IF(Indicadores[[#This Row],[Ventas]]=0,0,Indicadores[[#This Row],[UAI]]/Indicadores[[#This Row],[Ventas]])</f>
        <v>2.1931704355254895E-2</v>
      </c>
      <c r="Q1371" s="837">
        <f>IFERROR(Indicadores[[#This Row],[Ventas]]/Indicadores[[#This Row],[Activos totales]],0)</f>
        <v>0.96144052689806148</v>
      </c>
    </row>
    <row r="1372" spans="1:17" x14ac:dyDescent="0.3">
      <c r="A1372" s="13" t="str">
        <f>MID(Indicadores[[#This Row],[CIIU]],2,4)</f>
        <v>2013</v>
      </c>
      <c r="B1372" s="13" t="str">
        <f>Indicadores[[#This Row],[CIIU]]&amp;Indicadores[[#This Row],[Año]]</f>
        <v>C20132019</v>
      </c>
      <c r="C1372" s="845" t="s">
        <v>2279</v>
      </c>
      <c r="D1372" s="845" t="s">
        <v>2451</v>
      </c>
      <c r="E1372" s="843">
        <v>2019</v>
      </c>
      <c r="F1372" s="844" t="s">
        <v>2458</v>
      </c>
      <c r="G1372" s="842" t="s">
        <v>2459</v>
      </c>
      <c r="H1372" s="843" t="s">
        <v>2460</v>
      </c>
      <c r="I1372" s="842" t="s">
        <v>2459</v>
      </c>
      <c r="J1372" s="840">
        <v>558620525</v>
      </c>
      <c r="K1372" s="840">
        <v>669018068</v>
      </c>
      <c r="L1372" s="841">
        <v>4087191313</v>
      </c>
      <c r="M1372" s="840">
        <v>5557638669</v>
      </c>
      <c r="N1372" s="839">
        <f>Indicadores[[#This Row],[Ventas]]/Indicadores[[#This Row],[Activos totales]]</f>
        <v>1.3597696421312588</v>
      </c>
      <c r="O1372" s="837">
        <f>IF(Indicadores[[#This Row],[Ventas]]=0,0,Indicadores[[#This Row],[EBITDA]]/Indicadores[[#This Row],[Ventas]])</f>
        <v>0.12037811521136153</v>
      </c>
      <c r="P1372" s="837">
        <f>IF(Indicadores[[#This Row],[Ventas]]=0,0,Indicadores[[#This Row],[UAI]]/Indicadores[[#This Row],[Ventas]])</f>
        <v>0.10051400572619702</v>
      </c>
      <c r="Q1372" s="837">
        <f>IFERROR(Indicadores[[#This Row],[Ventas]]/Indicadores[[#This Row],[Activos totales]],0)</f>
        <v>1.3597696421312588</v>
      </c>
    </row>
    <row r="1373" spans="1:17" x14ac:dyDescent="0.3">
      <c r="A1373" s="13" t="str">
        <f>MID(Indicadores[[#This Row],[CIIU]],2,4)</f>
        <v>2014</v>
      </c>
      <c r="B1373" s="13" t="str">
        <f>Indicadores[[#This Row],[CIIU]]&amp;Indicadores[[#This Row],[Año]]</f>
        <v>C20142019</v>
      </c>
      <c r="C1373" s="845" t="s">
        <v>2279</v>
      </c>
      <c r="D1373" s="845" t="s">
        <v>2451</v>
      </c>
      <c r="E1373" s="843">
        <v>2019</v>
      </c>
      <c r="F1373" s="844" t="s">
        <v>2461</v>
      </c>
      <c r="G1373" s="842" t="s">
        <v>2462</v>
      </c>
      <c r="H1373" s="843" t="s">
        <v>2463</v>
      </c>
      <c r="I1373" s="842" t="s">
        <v>2462</v>
      </c>
      <c r="J1373" s="840">
        <v>3917492</v>
      </c>
      <c r="K1373" s="840">
        <v>5495906</v>
      </c>
      <c r="L1373" s="841">
        <v>56871822</v>
      </c>
      <c r="M1373" s="840">
        <v>56434778</v>
      </c>
      <c r="N1373" s="839">
        <f>Indicadores[[#This Row],[Ventas]]/Indicadores[[#This Row],[Activos totales]]</f>
        <v>0.99231528049162909</v>
      </c>
      <c r="O1373" s="837">
        <f>IF(Indicadores[[#This Row],[Ventas]]=0,0,Indicadores[[#This Row],[EBITDA]]/Indicadores[[#This Row],[Ventas]])</f>
        <v>9.7385091157796352E-2</v>
      </c>
      <c r="P1373" s="837">
        <f>IF(Indicadores[[#This Row],[Ventas]]=0,0,Indicadores[[#This Row],[UAI]]/Indicadores[[#This Row],[Ventas]])</f>
        <v>6.9416273773594009E-2</v>
      </c>
      <c r="Q1373" s="837">
        <f>IFERROR(Indicadores[[#This Row],[Ventas]]/Indicadores[[#This Row],[Activos totales]],0)</f>
        <v>0.99231528049162909</v>
      </c>
    </row>
    <row r="1374" spans="1:17" x14ac:dyDescent="0.3">
      <c r="A1374" s="13" t="str">
        <f>MID(Indicadores[[#This Row],[CIIU]],2,4)</f>
        <v>2021</v>
      </c>
      <c r="B1374" s="13" t="str">
        <f>Indicadores[[#This Row],[CIIU]]&amp;Indicadores[[#This Row],[Año]]</f>
        <v>C20212019</v>
      </c>
      <c r="C1374" s="845" t="s">
        <v>2279</v>
      </c>
      <c r="D1374" s="845" t="s">
        <v>2451</v>
      </c>
      <c r="E1374" s="843">
        <v>2019</v>
      </c>
      <c r="F1374" s="844" t="s">
        <v>2464</v>
      </c>
      <c r="G1374" s="842" t="s">
        <v>2465</v>
      </c>
      <c r="H1374" s="843" t="s">
        <v>2466</v>
      </c>
      <c r="I1374" s="842" t="s">
        <v>2465</v>
      </c>
      <c r="J1374" s="840">
        <v>121997128</v>
      </c>
      <c r="K1374" s="840">
        <v>157691517</v>
      </c>
      <c r="L1374" s="841">
        <v>2172328603</v>
      </c>
      <c r="M1374" s="840">
        <v>1932829017</v>
      </c>
      <c r="N1374" s="839">
        <f>Indicadores[[#This Row],[Ventas]]/Indicadores[[#This Row],[Activos totales]]</f>
        <v>0.8897498354211929</v>
      </c>
      <c r="O1374" s="837">
        <f>IF(Indicadores[[#This Row],[Ventas]]=0,0,Indicadores[[#This Row],[EBITDA]]/Indicadores[[#This Row],[Ventas]])</f>
        <v>8.158585969738677E-2</v>
      </c>
      <c r="P1374" s="837">
        <f>IF(Indicadores[[#This Row],[Ventas]]=0,0,Indicadores[[#This Row],[UAI]]/Indicadores[[#This Row],[Ventas]])</f>
        <v>6.3118427407177116E-2</v>
      </c>
      <c r="Q1374" s="837">
        <f>IFERROR(Indicadores[[#This Row],[Ventas]]/Indicadores[[#This Row],[Activos totales]],0)</f>
        <v>0.8897498354211929</v>
      </c>
    </row>
    <row r="1375" spans="1:17" x14ac:dyDescent="0.3">
      <c r="A1375" s="13" t="str">
        <f>MID(Indicadores[[#This Row],[CIIU]],2,4)</f>
        <v>2022</v>
      </c>
      <c r="B1375" s="13" t="str">
        <f>Indicadores[[#This Row],[CIIU]]&amp;Indicadores[[#This Row],[Año]]</f>
        <v>C20222019</v>
      </c>
      <c r="C1375" s="845" t="s">
        <v>2279</v>
      </c>
      <c r="D1375" s="845" t="s">
        <v>2451</v>
      </c>
      <c r="E1375" s="843">
        <v>2019</v>
      </c>
      <c r="F1375" s="844" t="s">
        <v>2467</v>
      </c>
      <c r="G1375" s="842" t="s">
        <v>2468</v>
      </c>
      <c r="H1375" s="843" t="s">
        <v>2469</v>
      </c>
      <c r="I1375" s="842" t="s">
        <v>2468</v>
      </c>
      <c r="J1375" s="840">
        <v>103357279</v>
      </c>
      <c r="K1375" s="840">
        <v>131438323</v>
      </c>
      <c r="L1375" s="841">
        <v>1610028252</v>
      </c>
      <c r="M1375" s="840">
        <v>1608099722</v>
      </c>
      <c r="N1375" s="839">
        <f>Indicadores[[#This Row],[Ventas]]/Indicadores[[#This Row],[Activos totales]]</f>
        <v>0.99880217629870505</v>
      </c>
      <c r="O1375" s="837">
        <f>IF(Indicadores[[#This Row],[Ventas]]=0,0,Indicadores[[#This Row],[EBITDA]]/Indicadores[[#This Row],[Ventas]])</f>
        <v>8.173518171903521E-2</v>
      </c>
      <c r="P1375" s="837">
        <f>IF(Indicadores[[#This Row],[Ventas]]=0,0,Indicadores[[#This Row],[UAI]]/Indicadores[[#This Row],[Ventas]])</f>
        <v>6.4272928840168039E-2</v>
      </c>
      <c r="Q1375" s="837">
        <f>IFERROR(Indicadores[[#This Row],[Ventas]]/Indicadores[[#This Row],[Activos totales]],0)</f>
        <v>0.99880217629870505</v>
      </c>
    </row>
    <row r="1376" spans="1:17" x14ac:dyDescent="0.3">
      <c r="A1376" s="13" t="str">
        <f>MID(Indicadores[[#This Row],[CIIU]],2,4)</f>
        <v>2023</v>
      </c>
      <c r="B1376" s="13" t="str">
        <f>Indicadores[[#This Row],[CIIU]]&amp;Indicadores[[#This Row],[Año]]</f>
        <v>C20232019</v>
      </c>
      <c r="C1376" s="845" t="s">
        <v>2279</v>
      </c>
      <c r="D1376" s="845" t="s">
        <v>2451</v>
      </c>
      <c r="E1376" s="843">
        <v>2019</v>
      </c>
      <c r="F1376" s="844" t="s">
        <v>2470</v>
      </c>
      <c r="G1376" s="842" t="s">
        <v>2471</v>
      </c>
      <c r="H1376" s="843" t="s">
        <v>2472</v>
      </c>
      <c r="I1376" s="842" t="s">
        <v>2471</v>
      </c>
      <c r="J1376" s="840">
        <v>525248842</v>
      </c>
      <c r="K1376" s="840">
        <v>829074369</v>
      </c>
      <c r="L1376" s="841">
        <v>9126231186</v>
      </c>
      <c r="M1376" s="840">
        <v>10041606479</v>
      </c>
      <c r="N1376" s="839">
        <f>Indicadores[[#This Row],[Ventas]]/Indicadores[[#This Row],[Activos totales]]</f>
        <v>1.1003015674645873</v>
      </c>
      <c r="O1376" s="837">
        <f>IF(Indicadores[[#This Row],[Ventas]]=0,0,Indicadores[[#This Row],[EBITDA]]/Indicadores[[#This Row],[Ventas]])</f>
        <v>8.2563917509996254E-2</v>
      </c>
      <c r="P1376" s="837">
        <f>IF(Indicadores[[#This Row],[Ventas]]=0,0,Indicadores[[#This Row],[UAI]]/Indicadores[[#This Row],[Ventas]])</f>
        <v>5.2307252141223844E-2</v>
      </c>
      <c r="Q1376" s="837">
        <f>IFERROR(Indicadores[[#This Row],[Ventas]]/Indicadores[[#This Row],[Activos totales]],0)</f>
        <v>1.1003015674645873</v>
      </c>
    </row>
    <row r="1377" spans="1:17" x14ac:dyDescent="0.3">
      <c r="A1377" s="13" t="str">
        <f>MID(Indicadores[[#This Row],[CIIU]],2,4)</f>
        <v>2029</v>
      </c>
      <c r="B1377" s="13" t="str">
        <f>Indicadores[[#This Row],[CIIU]]&amp;Indicadores[[#This Row],[Año]]</f>
        <v>C20292019</v>
      </c>
      <c r="C1377" s="845" t="s">
        <v>2279</v>
      </c>
      <c r="D1377" s="845" t="s">
        <v>2451</v>
      </c>
      <c r="E1377" s="843">
        <v>2019</v>
      </c>
      <c r="F1377" s="844" t="s">
        <v>2473</v>
      </c>
      <c r="G1377" s="842" t="s">
        <v>2474</v>
      </c>
      <c r="H1377" s="843" t="s">
        <v>2475</v>
      </c>
      <c r="I1377" s="842" t="s">
        <v>2474</v>
      </c>
      <c r="J1377" s="840">
        <v>497569835</v>
      </c>
      <c r="K1377" s="840">
        <v>633333692</v>
      </c>
      <c r="L1377" s="841">
        <v>5497700709</v>
      </c>
      <c r="M1377" s="840">
        <v>5769136630</v>
      </c>
      <c r="N1377" s="839">
        <f>Indicadores[[#This Row],[Ventas]]/Indicadores[[#This Row],[Activos totales]]</f>
        <v>1.049372626006295</v>
      </c>
      <c r="O1377" s="837">
        <f>IF(Indicadores[[#This Row],[Ventas]]=0,0,Indicadores[[#This Row],[EBITDA]]/Indicadores[[#This Row],[Ventas]])</f>
        <v>0.10977963127214063</v>
      </c>
      <c r="P1377" s="837">
        <f>IF(Indicadores[[#This Row],[Ventas]]=0,0,Indicadores[[#This Row],[UAI]]/Indicadores[[#This Row],[Ventas]])</f>
        <v>8.6246845396691529E-2</v>
      </c>
      <c r="Q1377" s="837">
        <f>IFERROR(Indicadores[[#This Row],[Ventas]]/Indicadores[[#This Row],[Activos totales]],0)</f>
        <v>1.049372626006295</v>
      </c>
    </row>
    <row r="1378" spans="1:17" x14ac:dyDescent="0.3">
      <c r="A1378" s="13" t="str">
        <f>MID(Indicadores[[#This Row],[CIIU]],2,4)</f>
        <v>2030</v>
      </c>
      <c r="B1378" s="13" t="str">
        <f>Indicadores[[#This Row],[CIIU]]&amp;Indicadores[[#This Row],[Año]]</f>
        <v>C20302019</v>
      </c>
      <c r="C1378" s="845" t="s">
        <v>2279</v>
      </c>
      <c r="D1378" s="845" t="s">
        <v>2451</v>
      </c>
      <c r="E1378" s="843">
        <v>2019</v>
      </c>
      <c r="F1378" s="844" t="s">
        <v>2476</v>
      </c>
      <c r="G1378" s="842" t="s">
        <v>2477</v>
      </c>
      <c r="H1378" s="843" t="s">
        <v>2478</v>
      </c>
      <c r="I1378" s="842" t="s">
        <v>2477</v>
      </c>
      <c r="J1378" s="840">
        <v>9241323</v>
      </c>
      <c r="K1378" s="840">
        <v>14543456</v>
      </c>
      <c r="L1378" s="841">
        <v>157249549</v>
      </c>
      <c r="M1378" s="840">
        <v>150037786</v>
      </c>
      <c r="N1378" s="839">
        <f>Indicadores[[#This Row],[Ventas]]/Indicadores[[#This Row],[Activos totales]]</f>
        <v>0.95413810058049831</v>
      </c>
      <c r="O1378" s="837">
        <f>IF(Indicadores[[#This Row],[Ventas]]=0,0,Indicadores[[#This Row],[EBITDA]]/Indicadores[[#This Row],[Ventas]])</f>
        <v>9.6931955527522914E-2</v>
      </c>
      <c r="P1378" s="837">
        <f>IF(Indicadores[[#This Row],[Ventas]]=0,0,Indicadores[[#This Row],[UAI]]/Indicadores[[#This Row],[Ventas]])</f>
        <v>6.1593304236040911E-2</v>
      </c>
      <c r="Q1378" s="837">
        <f>IFERROR(Indicadores[[#This Row],[Ventas]]/Indicadores[[#This Row],[Activos totales]],0)</f>
        <v>0.95413810058049831</v>
      </c>
    </row>
    <row r="1379" spans="1:17" x14ac:dyDescent="0.3">
      <c r="A1379" s="13" t="str">
        <f>MID(Indicadores[[#This Row],[CIIU]],2,4)</f>
        <v>2100</v>
      </c>
      <c r="B1379" s="13" t="str">
        <f>Indicadores[[#This Row],[CIIU]]&amp;Indicadores[[#This Row],[Año]]</f>
        <v>C21002019</v>
      </c>
      <c r="C1379" s="845" t="s">
        <v>2279</v>
      </c>
      <c r="D1379" s="845" t="s">
        <v>2479</v>
      </c>
      <c r="E1379" s="843">
        <v>2019</v>
      </c>
      <c r="F1379" s="844" t="s">
        <v>2480</v>
      </c>
      <c r="G1379" s="842" t="s">
        <v>2481</v>
      </c>
      <c r="H1379" s="843" t="s">
        <v>2482</v>
      </c>
      <c r="I1379" s="842" t="s">
        <v>2481</v>
      </c>
      <c r="J1379" s="840">
        <v>916961974</v>
      </c>
      <c r="K1379" s="840">
        <v>1158680165</v>
      </c>
      <c r="L1379" s="841">
        <v>9734661027</v>
      </c>
      <c r="M1379" s="840">
        <v>9398665478</v>
      </c>
      <c r="N1379" s="839">
        <f>Indicadores[[#This Row],[Ventas]]/Indicadores[[#This Row],[Activos totales]]</f>
        <v>0.96548461748507886</v>
      </c>
      <c r="O1379" s="837">
        <f>IF(Indicadores[[#This Row],[Ventas]]=0,0,Indicadores[[#This Row],[EBITDA]]/Indicadores[[#This Row],[Ventas]])</f>
        <v>0.12328134964609494</v>
      </c>
      <c r="P1379" s="837">
        <f>IF(Indicadores[[#This Row],[Ventas]]=0,0,Indicadores[[#This Row],[UAI]]/Indicadores[[#This Row],[Ventas]])</f>
        <v>9.7562997230445744E-2</v>
      </c>
      <c r="Q1379" s="837">
        <f>IFERROR(Indicadores[[#This Row],[Ventas]]/Indicadores[[#This Row],[Activos totales]],0)</f>
        <v>0.96548461748507886</v>
      </c>
    </row>
    <row r="1380" spans="1:17" x14ac:dyDescent="0.3">
      <c r="A1380" s="13" t="str">
        <f>MID(Indicadores[[#This Row],[CIIU]],2,4)</f>
        <v>2211</v>
      </c>
      <c r="B1380" s="13" t="str">
        <f>Indicadores[[#This Row],[CIIU]]&amp;Indicadores[[#This Row],[Año]]</f>
        <v>C22112019</v>
      </c>
      <c r="C1380" s="845" t="s">
        <v>2279</v>
      </c>
      <c r="D1380" s="845" t="s">
        <v>2483</v>
      </c>
      <c r="E1380" s="843">
        <v>2019</v>
      </c>
      <c r="F1380" s="844" t="s">
        <v>2484</v>
      </c>
      <c r="G1380" s="842" t="s">
        <v>2485</v>
      </c>
      <c r="H1380" s="843" t="s">
        <v>2486</v>
      </c>
      <c r="I1380" s="842" t="s">
        <v>2485</v>
      </c>
      <c r="J1380" s="840">
        <v>566662</v>
      </c>
      <c r="K1380" s="840">
        <v>15093648</v>
      </c>
      <c r="L1380" s="841">
        <v>385354618</v>
      </c>
      <c r="M1380" s="840">
        <v>340635627</v>
      </c>
      <c r="N1380" s="839">
        <f>Indicadores[[#This Row],[Ventas]]/Indicadores[[#This Row],[Activos totales]]</f>
        <v>0.88395366524451513</v>
      </c>
      <c r="O1380" s="837">
        <f>IF(Indicadores[[#This Row],[Ventas]]=0,0,Indicadores[[#This Row],[EBITDA]]/Indicadores[[#This Row],[Ventas]])</f>
        <v>4.4310244741369936E-2</v>
      </c>
      <c r="P1380" s="837">
        <f>IF(Indicadores[[#This Row],[Ventas]]=0,0,Indicadores[[#This Row],[UAI]]/Indicadores[[#This Row],[Ventas]])</f>
        <v>1.6635429622867957E-3</v>
      </c>
      <c r="Q1380" s="837">
        <f>IFERROR(Indicadores[[#This Row],[Ventas]]/Indicadores[[#This Row],[Activos totales]],0)</f>
        <v>0.88395366524451513</v>
      </c>
    </row>
    <row r="1381" spans="1:17" x14ac:dyDescent="0.3">
      <c r="A1381" s="13" t="str">
        <f>MID(Indicadores[[#This Row],[CIIU]],2,4)</f>
        <v>2212</v>
      </c>
      <c r="B1381" s="13" t="str">
        <f>Indicadores[[#This Row],[CIIU]]&amp;Indicadores[[#This Row],[Año]]</f>
        <v>C22122019</v>
      </c>
      <c r="C1381" s="845" t="s">
        <v>2279</v>
      </c>
      <c r="D1381" s="845" t="s">
        <v>2483</v>
      </c>
      <c r="E1381" s="843">
        <v>2019</v>
      </c>
      <c r="F1381" s="844" t="s">
        <v>2487</v>
      </c>
      <c r="G1381" s="842" t="s">
        <v>2488</v>
      </c>
      <c r="H1381" s="843" t="s">
        <v>2489</v>
      </c>
      <c r="I1381" s="842" t="s">
        <v>2488</v>
      </c>
      <c r="J1381" s="840">
        <v>4848461</v>
      </c>
      <c r="K1381" s="840">
        <v>8282643</v>
      </c>
      <c r="L1381" s="841">
        <v>171472111</v>
      </c>
      <c r="M1381" s="840">
        <v>195354174</v>
      </c>
      <c r="N1381" s="839">
        <f>Indicadores[[#This Row],[Ventas]]/Indicadores[[#This Row],[Activos totales]]</f>
        <v>1.1392766605643527</v>
      </c>
      <c r="O1381" s="837">
        <f>IF(Indicadores[[#This Row],[Ventas]]=0,0,Indicadores[[#This Row],[EBITDA]]/Indicadores[[#This Row],[Ventas]])</f>
        <v>4.2398085643156003E-2</v>
      </c>
      <c r="P1381" s="837">
        <f>IF(Indicadores[[#This Row],[Ventas]]=0,0,Indicadores[[#This Row],[UAI]]/Indicadores[[#This Row],[Ventas]])</f>
        <v>2.4818824705532015E-2</v>
      </c>
      <c r="Q1381" s="837">
        <f>IFERROR(Indicadores[[#This Row],[Ventas]]/Indicadores[[#This Row],[Activos totales]],0)</f>
        <v>1.1392766605643527</v>
      </c>
    </row>
    <row r="1382" spans="1:17" x14ac:dyDescent="0.3">
      <c r="A1382" s="13" t="str">
        <f>MID(Indicadores[[#This Row],[CIIU]],2,4)</f>
        <v>2219</v>
      </c>
      <c r="B1382" s="13" t="str">
        <f>Indicadores[[#This Row],[CIIU]]&amp;Indicadores[[#This Row],[Año]]</f>
        <v>C22192019</v>
      </c>
      <c r="C1382" s="845" t="s">
        <v>2279</v>
      </c>
      <c r="D1382" s="845" t="s">
        <v>2483</v>
      </c>
      <c r="E1382" s="843">
        <v>2019</v>
      </c>
      <c r="F1382" s="844" t="s">
        <v>2490</v>
      </c>
      <c r="G1382" s="842" t="s">
        <v>2491</v>
      </c>
      <c r="H1382" s="843" t="s">
        <v>2492</v>
      </c>
      <c r="I1382" s="842" t="s">
        <v>2491</v>
      </c>
      <c r="J1382" s="840">
        <v>35733058</v>
      </c>
      <c r="K1382" s="840">
        <v>44287381</v>
      </c>
      <c r="L1382" s="841">
        <v>557950562</v>
      </c>
      <c r="M1382" s="840">
        <v>516616088</v>
      </c>
      <c r="N1382" s="839">
        <f>Indicadores[[#This Row],[Ventas]]/Indicadores[[#This Row],[Activos totales]]</f>
        <v>0.92591731810102562</v>
      </c>
      <c r="O1382" s="837">
        <f>IF(Indicadores[[#This Row],[Ventas]]=0,0,Indicadores[[#This Row],[EBITDA]]/Indicadores[[#This Row],[Ventas]])</f>
        <v>8.5725903681110299E-2</v>
      </c>
      <c r="P1382" s="837">
        <f>IF(Indicadores[[#This Row],[Ventas]]=0,0,Indicadores[[#This Row],[UAI]]/Indicadores[[#This Row],[Ventas]])</f>
        <v>6.9167528518778915E-2</v>
      </c>
      <c r="Q1382" s="837">
        <f>IFERROR(Indicadores[[#This Row],[Ventas]]/Indicadores[[#This Row],[Activos totales]],0)</f>
        <v>0.92591731810102562</v>
      </c>
    </row>
    <row r="1383" spans="1:17" x14ac:dyDescent="0.3">
      <c r="A1383" s="13" t="str">
        <f>MID(Indicadores[[#This Row],[CIIU]],2,4)</f>
        <v>2221</v>
      </c>
      <c r="B1383" s="13" t="str">
        <f>Indicadores[[#This Row],[CIIU]]&amp;Indicadores[[#This Row],[Año]]</f>
        <v>C22212019</v>
      </c>
      <c r="C1383" s="845" t="s">
        <v>2279</v>
      </c>
      <c r="D1383" s="845" t="s">
        <v>2483</v>
      </c>
      <c r="E1383" s="843">
        <v>2019</v>
      </c>
      <c r="F1383" s="844" t="s">
        <v>7</v>
      </c>
      <c r="G1383" s="842" t="s">
        <v>2493</v>
      </c>
      <c r="H1383" s="843" t="s">
        <v>2494</v>
      </c>
      <c r="I1383" s="842" t="s">
        <v>2493</v>
      </c>
      <c r="J1383" s="840">
        <v>133441214</v>
      </c>
      <c r="K1383" s="840">
        <v>252422086</v>
      </c>
      <c r="L1383" s="841">
        <v>3673426530</v>
      </c>
      <c r="M1383" s="840">
        <v>3235778634</v>
      </c>
      <c r="N1383" s="839">
        <f>Indicadores[[#This Row],[Ventas]]/Indicadores[[#This Row],[Activos totales]]</f>
        <v>0.88086112722662779</v>
      </c>
      <c r="O1383" s="837">
        <f>IF(Indicadores[[#This Row],[Ventas]]=0,0,Indicadores[[#This Row],[EBITDA]]/Indicadores[[#This Row],[Ventas]])</f>
        <v>7.800968933649248E-2</v>
      </c>
      <c r="P1383" s="837">
        <f>IF(Indicadores[[#This Row],[Ventas]]=0,0,Indicadores[[#This Row],[UAI]]/Indicadores[[#This Row],[Ventas]])</f>
        <v>4.1239290165855022E-2</v>
      </c>
      <c r="Q1383" s="837">
        <f>IFERROR(Indicadores[[#This Row],[Ventas]]/Indicadores[[#This Row],[Activos totales]],0)</f>
        <v>0.88086112722662779</v>
      </c>
    </row>
    <row r="1384" spans="1:17" x14ac:dyDescent="0.3">
      <c r="A1384" s="13" t="str">
        <f>MID(Indicadores[[#This Row],[CIIU]],2,4)</f>
        <v>2229</v>
      </c>
      <c r="B1384" s="13" t="str">
        <f>Indicadores[[#This Row],[CIIU]]&amp;Indicadores[[#This Row],[Año]]</f>
        <v>C22292019</v>
      </c>
      <c r="C1384" s="845" t="s">
        <v>2279</v>
      </c>
      <c r="D1384" s="845" t="s">
        <v>2483</v>
      </c>
      <c r="E1384" s="843">
        <v>2019</v>
      </c>
      <c r="F1384" s="844" t="s">
        <v>2495</v>
      </c>
      <c r="G1384" s="842" t="s">
        <v>2496</v>
      </c>
      <c r="H1384" s="843" t="s">
        <v>2497</v>
      </c>
      <c r="I1384" s="842" t="s">
        <v>2496</v>
      </c>
      <c r="J1384" s="840">
        <v>423874235</v>
      </c>
      <c r="K1384" s="840">
        <v>754778828</v>
      </c>
      <c r="L1384" s="841">
        <v>8849727967</v>
      </c>
      <c r="M1384" s="840">
        <v>7747497668</v>
      </c>
      <c r="N1384" s="839">
        <f>Indicadores[[#This Row],[Ventas]]/Indicadores[[#This Row],[Activos totales]]</f>
        <v>0.8754503750725291</v>
      </c>
      <c r="O1384" s="837">
        <f>IF(Indicadores[[#This Row],[Ventas]]=0,0,Indicadores[[#This Row],[EBITDA]]/Indicadores[[#This Row],[Ventas]])</f>
        <v>9.7422272370279339E-2</v>
      </c>
      <c r="P1384" s="837">
        <f>IF(Indicadores[[#This Row],[Ventas]]=0,0,Indicadores[[#This Row],[UAI]]/Indicadores[[#This Row],[Ventas]])</f>
        <v>5.4711114886908024E-2</v>
      </c>
      <c r="Q1384" s="837">
        <f>IFERROR(Indicadores[[#This Row],[Ventas]]/Indicadores[[#This Row],[Activos totales]],0)</f>
        <v>0.8754503750725291</v>
      </c>
    </row>
    <row r="1385" spans="1:17" x14ac:dyDescent="0.3">
      <c r="A1385" s="13" t="str">
        <f>MID(Indicadores[[#This Row],[CIIU]],2,4)</f>
        <v>2310</v>
      </c>
      <c r="B1385" s="13" t="str">
        <f>Indicadores[[#This Row],[CIIU]]&amp;Indicadores[[#This Row],[Año]]</f>
        <v>C23102019</v>
      </c>
      <c r="C1385" s="845" t="s">
        <v>2279</v>
      </c>
      <c r="D1385" s="845" t="s">
        <v>2498</v>
      </c>
      <c r="E1385" s="843">
        <v>2019</v>
      </c>
      <c r="F1385" s="844" t="s">
        <v>2499</v>
      </c>
      <c r="G1385" s="842" t="s">
        <v>2500</v>
      </c>
      <c r="H1385" s="843" t="s">
        <v>2501</v>
      </c>
      <c r="I1385" s="842" t="s">
        <v>2500</v>
      </c>
      <c r="J1385" s="840">
        <v>268125987</v>
      </c>
      <c r="K1385" s="840">
        <v>422831855</v>
      </c>
      <c r="L1385" s="841">
        <v>3148094477</v>
      </c>
      <c r="M1385" s="840">
        <v>2550292246</v>
      </c>
      <c r="N1385" s="839">
        <f>Indicadores[[#This Row],[Ventas]]/Indicadores[[#This Row],[Activos totales]]</f>
        <v>0.81010664217114603</v>
      </c>
      <c r="O1385" s="837">
        <f>IF(Indicadores[[#This Row],[Ventas]]=0,0,Indicadores[[#This Row],[EBITDA]]/Indicadores[[#This Row],[Ventas]])</f>
        <v>0.16579741230174291</v>
      </c>
      <c r="P1385" s="837">
        <f>IF(Indicadores[[#This Row],[Ventas]]=0,0,Indicadores[[#This Row],[UAI]]/Indicadores[[#This Row],[Ventas]])</f>
        <v>0.10513539670621733</v>
      </c>
      <c r="Q1385" s="837">
        <f>IFERROR(Indicadores[[#This Row],[Ventas]]/Indicadores[[#This Row],[Activos totales]],0)</f>
        <v>0.81010664217114603</v>
      </c>
    </row>
    <row r="1386" spans="1:17" x14ac:dyDescent="0.3">
      <c r="A1386" s="13" t="str">
        <f>MID(Indicadores[[#This Row],[CIIU]],2,4)</f>
        <v>2391</v>
      </c>
      <c r="B1386" s="13" t="str">
        <f>Indicadores[[#This Row],[CIIU]]&amp;Indicadores[[#This Row],[Año]]</f>
        <v>C23912019</v>
      </c>
      <c r="C1386" s="845" t="s">
        <v>2279</v>
      </c>
      <c r="D1386" s="845" t="s">
        <v>2498</v>
      </c>
      <c r="E1386" s="843">
        <v>2019</v>
      </c>
      <c r="F1386" s="844" t="s">
        <v>2502</v>
      </c>
      <c r="G1386" s="842" t="s">
        <v>2503</v>
      </c>
      <c r="H1386" s="843" t="s">
        <v>2504</v>
      </c>
      <c r="I1386" s="842" t="s">
        <v>2503</v>
      </c>
      <c r="J1386" s="840">
        <v>1924480</v>
      </c>
      <c r="K1386" s="840">
        <v>3341219</v>
      </c>
      <c r="L1386" s="841">
        <v>97296182</v>
      </c>
      <c r="M1386" s="840">
        <v>45237306</v>
      </c>
      <c r="N1386" s="839">
        <f>Indicadores[[#This Row],[Ventas]]/Indicadores[[#This Row],[Activos totales]]</f>
        <v>0.46494430788661367</v>
      </c>
      <c r="O1386" s="837">
        <f>IF(Indicadores[[#This Row],[Ventas]]=0,0,Indicadores[[#This Row],[EBITDA]]/Indicadores[[#This Row],[Ventas]])</f>
        <v>7.3859813844794384E-2</v>
      </c>
      <c r="P1386" s="837">
        <f>IF(Indicadores[[#This Row],[Ventas]]=0,0,Indicadores[[#This Row],[UAI]]/Indicadores[[#This Row],[Ventas]])</f>
        <v>4.2541879041161294E-2</v>
      </c>
      <c r="Q1386" s="837">
        <f>IFERROR(Indicadores[[#This Row],[Ventas]]/Indicadores[[#This Row],[Activos totales]],0)</f>
        <v>0.46494430788661367</v>
      </c>
    </row>
    <row r="1387" spans="1:17" x14ac:dyDescent="0.3">
      <c r="A1387" s="13" t="str">
        <f>MID(Indicadores[[#This Row],[CIIU]],2,4)</f>
        <v>2392</v>
      </c>
      <c r="B1387" s="13" t="str">
        <f>Indicadores[[#This Row],[CIIU]]&amp;Indicadores[[#This Row],[Año]]</f>
        <v>C23922019</v>
      </c>
      <c r="C1387" s="845" t="s">
        <v>2279</v>
      </c>
      <c r="D1387" s="845" t="s">
        <v>2498</v>
      </c>
      <c r="E1387" s="843">
        <v>2019</v>
      </c>
      <c r="F1387" s="844" t="s">
        <v>2505</v>
      </c>
      <c r="G1387" s="842" t="s">
        <v>2506</v>
      </c>
      <c r="H1387" s="843" t="s">
        <v>2507</v>
      </c>
      <c r="I1387" s="842" t="s">
        <v>2506</v>
      </c>
      <c r="J1387" s="840">
        <v>31572542</v>
      </c>
      <c r="K1387" s="840">
        <v>92839299</v>
      </c>
      <c r="L1387" s="841">
        <v>2470415443</v>
      </c>
      <c r="M1387" s="840">
        <v>1433678215</v>
      </c>
      <c r="N1387" s="839">
        <f>Indicadores[[#This Row],[Ventas]]/Indicadores[[#This Row],[Activos totales]]</f>
        <v>0.58033891387069025</v>
      </c>
      <c r="O1387" s="837">
        <f>IF(Indicadores[[#This Row],[Ventas]]=0,0,Indicadores[[#This Row],[EBITDA]]/Indicadores[[#This Row],[Ventas]])</f>
        <v>6.4756022675562519E-2</v>
      </c>
      <c r="P1387" s="837">
        <f>IF(Indicadores[[#This Row],[Ventas]]=0,0,Indicadores[[#This Row],[UAI]]/Indicadores[[#This Row],[Ventas]])</f>
        <v>2.2022056044145165E-2</v>
      </c>
      <c r="Q1387" s="837">
        <f>IFERROR(Indicadores[[#This Row],[Ventas]]/Indicadores[[#This Row],[Activos totales]],0)</f>
        <v>0.58033891387069025</v>
      </c>
    </row>
    <row r="1388" spans="1:17" x14ac:dyDescent="0.3">
      <c r="A1388" s="13" t="str">
        <f>MID(Indicadores[[#This Row],[CIIU]],2,4)</f>
        <v>2393</v>
      </c>
      <c r="B1388" s="13" t="str">
        <f>Indicadores[[#This Row],[CIIU]]&amp;Indicadores[[#This Row],[Año]]</f>
        <v>C23932019</v>
      </c>
      <c r="C1388" s="845" t="s">
        <v>2279</v>
      </c>
      <c r="D1388" s="845" t="s">
        <v>2498</v>
      </c>
      <c r="E1388" s="843">
        <v>2019</v>
      </c>
      <c r="F1388" s="844" t="s">
        <v>2508</v>
      </c>
      <c r="G1388" s="842" t="s">
        <v>2509</v>
      </c>
      <c r="H1388" s="843" t="s">
        <v>2510</v>
      </c>
      <c r="I1388" s="842" t="s">
        <v>2509</v>
      </c>
      <c r="J1388" s="840">
        <v>-6705142</v>
      </c>
      <c r="K1388" s="840">
        <v>50684926</v>
      </c>
      <c r="L1388" s="841">
        <v>1663976821</v>
      </c>
      <c r="M1388" s="840">
        <v>1404745873</v>
      </c>
      <c r="N1388" s="839">
        <f>Indicadores[[#This Row],[Ventas]]/Indicadores[[#This Row],[Activos totales]]</f>
        <v>0.84421000056706919</v>
      </c>
      <c r="O1388" s="837">
        <f>IF(Indicadores[[#This Row],[Ventas]]=0,0,Indicadores[[#This Row],[EBITDA]]/Indicadores[[#This Row],[Ventas]])</f>
        <v>3.608120655429041E-2</v>
      </c>
      <c r="P1388" s="837">
        <f>IF(Indicadores[[#This Row],[Ventas]]=0,0,Indicadores[[#This Row],[UAI]]/Indicadores[[#This Row],[Ventas]])</f>
        <v>-4.7732064061383438E-3</v>
      </c>
      <c r="Q1388" s="837">
        <f>IFERROR(Indicadores[[#This Row],[Ventas]]/Indicadores[[#This Row],[Activos totales]],0)</f>
        <v>0.84421000056706919</v>
      </c>
    </row>
    <row r="1389" spans="1:17" x14ac:dyDescent="0.3">
      <c r="A1389" s="13" t="str">
        <f>MID(Indicadores[[#This Row],[CIIU]],2,4)</f>
        <v>2394</v>
      </c>
      <c r="B1389" s="13" t="str">
        <f>Indicadores[[#This Row],[CIIU]]&amp;Indicadores[[#This Row],[Año]]</f>
        <v>C23942019</v>
      </c>
      <c r="C1389" s="845" t="s">
        <v>2279</v>
      </c>
      <c r="D1389" s="845" t="s">
        <v>2498</v>
      </c>
      <c r="E1389" s="843">
        <v>2019</v>
      </c>
      <c r="F1389" s="844" t="s">
        <v>2511</v>
      </c>
      <c r="G1389" s="842" t="s">
        <v>2512</v>
      </c>
      <c r="H1389" s="843" t="s">
        <v>2513</v>
      </c>
      <c r="I1389" s="842" t="s">
        <v>2512</v>
      </c>
      <c r="J1389" s="840">
        <v>198042389</v>
      </c>
      <c r="K1389" s="840">
        <v>323351135</v>
      </c>
      <c r="L1389" s="841">
        <v>5207760816</v>
      </c>
      <c r="M1389" s="840">
        <v>2351818541</v>
      </c>
      <c r="N1389" s="839">
        <f>Indicadores[[#This Row],[Ventas]]/Indicadores[[#This Row],[Activos totales]]</f>
        <v>0.45159880111513939</v>
      </c>
      <c r="O1389" s="837">
        <f>IF(Indicadores[[#This Row],[Ventas]]=0,0,Indicadores[[#This Row],[EBITDA]]/Indicadores[[#This Row],[Ventas]])</f>
        <v>0.13748983153373312</v>
      </c>
      <c r="P1389" s="837">
        <f>IF(Indicadores[[#This Row],[Ventas]]=0,0,Indicadores[[#This Row],[UAI]]/Indicadores[[#This Row],[Ventas]])</f>
        <v>8.4208192744237742E-2</v>
      </c>
      <c r="Q1389" s="837">
        <f>IFERROR(Indicadores[[#This Row],[Ventas]]/Indicadores[[#This Row],[Activos totales]],0)</f>
        <v>0.45159880111513939</v>
      </c>
    </row>
    <row r="1390" spans="1:17" x14ac:dyDescent="0.3">
      <c r="A1390" s="13" t="str">
        <f>MID(Indicadores[[#This Row],[CIIU]],2,4)</f>
        <v>2395</v>
      </c>
      <c r="B1390" s="13" t="str">
        <f>Indicadores[[#This Row],[CIIU]]&amp;Indicadores[[#This Row],[Año]]</f>
        <v>C23952019</v>
      </c>
      <c r="C1390" s="845" t="s">
        <v>2279</v>
      </c>
      <c r="D1390" s="845" t="s">
        <v>2498</v>
      </c>
      <c r="E1390" s="843">
        <v>2019</v>
      </c>
      <c r="F1390" s="844" t="s">
        <v>2514</v>
      </c>
      <c r="G1390" s="842" t="s">
        <v>2515</v>
      </c>
      <c r="H1390" s="843" t="s">
        <v>2516</v>
      </c>
      <c r="I1390" s="842" t="s">
        <v>2515</v>
      </c>
      <c r="J1390" s="840">
        <v>86394106</v>
      </c>
      <c r="K1390" s="840">
        <v>226741175</v>
      </c>
      <c r="L1390" s="841">
        <v>2375773966</v>
      </c>
      <c r="M1390" s="840">
        <v>2422146830</v>
      </c>
      <c r="N1390" s="839">
        <f>Indicadores[[#This Row],[Ventas]]/Indicadores[[#This Row],[Activos totales]]</f>
        <v>1.0195190555430138</v>
      </c>
      <c r="O1390" s="837">
        <f>IF(Indicadores[[#This Row],[Ventas]]=0,0,Indicadores[[#This Row],[EBITDA]]/Indicadores[[#This Row],[Ventas]])</f>
        <v>9.3611655656729936E-2</v>
      </c>
      <c r="P1390" s="837">
        <f>IF(Indicadores[[#This Row],[Ventas]]=0,0,Indicadores[[#This Row],[UAI]]/Indicadores[[#This Row],[Ventas]])</f>
        <v>3.5668401655072249E-2</v>
      </c>
      <c r="Q1390" s="837">
        <f>IFERROR(Indicadores[[#This Row],[Ventas]]/Indicadores[[#This Row],[Activos totales]],0)</f>
        <v>1.0195190555430138</v>
      </c>
    </row>
    <row r="1391" spans="1:17" x14ac:dyDescent="0.3">
      <c r="A1391" s="13" t="str">
        <f>MID(Indicadores[[#This Row],[CIIU]],2,4)</f>
        <v>2396</v>
      </c>
      <c r="B1391" s="13" t="str">
        <f>Indicadores[[#This Row],[CIIU]]&amp;Indicadores[[#This Row],[Año]]</f>
        <v>C23962019</v>
      </c>
      <c r="C1391" s="845" t="s">
        <v>2279</v>
      </c>
      <c r="D1391" s="845" t="s">
        <v>2498</v>
      </c>
      <c r="E1391" s="843">
        <v>2019</v>
      </c>
      <c r="F1391" s="844" t="s">
        <v>2517</v>
      </c>
      <c r="G1391" s="842" t="s">
        <v>2518</v>
      </c>
      <c r="H1391" s="843" t="s">
        <v>2519</v>
      </c>
      <c r="I1391" s="842" t="s">
        <v>2518</v>
      </c>
      <c r="J1391" s="840">
        <v>-880</v>
      </c>
      <c r="K1391" s="840">
        <v>105886</v>
      </c>
      <c r="L1391" s="841">
        <v>9747251</v>
      </c>
      <c r="M1391" s="840">
        <v>4372001</v>
      </c>
      <c r="N1391" s="839">
        <f>Indicadores[[#This Row],[Ventas]]/Indicadores[[#This Row],[Activos totales]]</f>
        <v>0.44853682335665718</v>
      </c>
      <c r="O1391" s="837">
        <f>IF(Indicadores[[#This Row],[Ventas]]=0,0,Indicadores[[#This Row],[EBITDA]]/Indicadores[[#This Row],[Ventas]])</f>
        <v>2.4219116143843516E-2</v>
      </c>
      <c r="P1391" s="837">
        <f>IF(Indicadores[[#This Row],[Ventas]]=0,0,Indicadores[[#This Row],[UAI]]/Indicadores[[#This Row],[Ventas]])</f>
        <v>-2.012808322779432E-4</v>
      </c>
      <c r="Q1391" s="837">
        <f>IFERROR(Indicadores[[#This Row],[Ventas]]/Indicadores[[#This Row],[Activos totales]],0)</f>
        <v>0.44853682335665718</v>
      </c>
    </row>
    <row r="1392" spans="1:17" x14ac:dyDescent="0.3">
      <c r="A1392" s="13" t="str">
        <f>MID(Indicadores[[#This Row],[CIIU]],2,4)</f>
        <v>2399</v>
      </c>
      <c r="B1392" s="13" t="str">
        <f>Indicadores[[#This Row],[CIIU]]&amp;Indicadores[[#This Row],[Año]]</f>
        <v>C23992019</v>
      </c>
      <c r="C1392" s="845" t="s">
        <v>2279</v>
      </c>
      <c r="D1392" s="845" t="s">
        <v>2498</v>
      </c>
      <c r="E1392" s="843">
        <v>2019</v>
      </c>
      <c r="F1392" s="844" t="s">
        <v>2520</v>
      </c>
      <c r="G1392" s="842" t="s">
        <v>2521</v>
      </c>
      <c r="H1392" s="843" t="s">
        <v>2522</v>
      </c>
      <c r="I1392" s="842" t="s">
        <v>2521</v>
      </c>
      <c r="J1392" s="840">
        <v>20051141</v>
      </c>
      <c r="K1392" s="840">
        <v>39304747</v>
      </c>
      <c r="L1392" s="841">
        <v>661059713</v>
      </c>
      <c r="M1392" s="840">
        <v>450706294</v>
      </c>
      <c r="N1392" s="839">
        <f>Indicadores[[#This Row],[Ventas]]/Indicadores[[#This Row],[Activos totales]]</f>
        <v>0.68179361884665324</v>
      </c>
      <c r="O1392" s="837">
        <f>IF(Indicadores[[#This Row],[Ventas]]=0,0,Indicadores[[#This Row],[EBITDA]]/Indicadores[[#This Row],[Ventas]])</f>
        <v>8.7207007142438536E-2</v>
      </c>
      <c r="P1392" s="837">
        <f>IF(Indicadores[[#This Row],[Ventas]]=0,0,Indicadores[[#This Row],[UAI]]/Indicadores[[#This Row],[Ventas]])</f>
        <v>4.4488264900955657E-2</v>
      </c>
      <c r="Q1392" s="837">
        <f>IFERROR(Indicadores[[#This Row],[Ventas]]/Indicadores[[#This Row],[Activos totales]],0)</f>
        <v>0.68179361884665324</v>
      </c>
    </row>
    <row r="1393" spans="1:17" x14ac:dyDescent="0.3">
      <c r="A1393" s="13" t="str">
        <f>MID(Indicadores[[#This Row],[CIIU]],2,4)</f>
        <v>2410</v>
      </c>
      <c r="B1393" s="13" t="str">
        <f>Indicadores[[#This Row],[CIIU]]&amp;Indicadores[[#This Row],[Año]]</f>
        <v>C24102019</v>
      </c>
      <c r="C1393" s="845" t="s">
        <v>2279</v>
      </c>
      <c r="D1393" s="845" t="s">
        <v>2523</v>
      </c>
      <c r="E1393" s="843">
        <v>2019</v>
      </c>
      <c r="F1393" s="844" t="s">
        <v>2524</v>
      </c>
      <c r="G1393" s="842" t="s">
        <v>2525</v>
      </c>
      <c r="H1393" s="843" t="s">
        <v>2526</v>
      </c>
      <c r="I1393" s="842" t="s">
        <v>2525</v>
      </c>
      <c r="J1393" s="840">
        <v>172079695</v>
      </c>
      <c r="K1393" s="840">
        <v>328102550</v>
      </c>
      <c r="L1393" s="841">
        <v>5424318825</v>
      </c>
      <c r="M1393" s="840">
        <v>5622321731</v>
      </c>
      <c r="N1393" s="839">
        <f>Indicadores[[#This Row],[Ventas]]/Indicadores[[#This Row],[Activos totales]]</f>
        <v>1.0365028148949191</v>
      </c>
      <c r="O1393" s="837">
        <f>IF(Indicadores[[#This Row],[Ventas]]=0,0,Indicadores[[#This Row],[EBITDA]]/Indicadores[[#This Row],[Ventas]])</f>
        <v>5.8357128193310077E-2</v>
      </c>
      <c r="P1393" s="837">
        <f>IF(Indicadores[[#This Row],[Ventas]]=0,0,Indicadores[[#This Row],[UAI]]/Indicadores[[#This Row],[Ventas]])</f>
        <v>3.060651866491345E-2</v>
      </c>
      <c r="Q1393" s="837">
        <f>IFERROR(Indicadores[[#This Row],[Ventas]]/Indicadores[[#This Row],[Activos totales]],0)</f>
        <v>1.0365028148949191</v>
      </c>
    </row>
    <row r="1394" spans="1:17" x14ac:dyDescent="0.3">
      <c r="A1394" s="13" t="str">
        <f>MID(Indicadores[[#This Row],[CIIU]],2,4)</f>
        <v>2421</v>
      </c>
      <c r="B1394" s="13" t="str">
        <f>Indicadores[[#This Row],[CIIU]]&amp;Indicadores[[#This Row],[Año]]</f>
        <v>C24212019</v>
      </c>
      <c r="C1394" s="845" t="s">
        <v>2279</v>
      </c>
      <c r="D1394" s="845" t="s">
        <v>2523</v>
      </c>
      <c r="E1394" s="843">
        <v>2019</v>
      </c>
      <c r="F1394" s="844" t="s">
        <v>2527</v>
      </c>
      <c r="G1394" s="842" t="s">
        <v>2528</v>
      </c>
      <c r="H1394" s="843" t="s">
        <v>2529</v>
      </c>
      <c r="I1394" s="842" t="s">
        <v>2528</v>
      </c>
      <c r="J1394" s="840">
        <v>18687781</v>
      </c>
      <c r="K1394" s="840">
        <v>19096009</v>
      </c>
      <c r="L1394" s="841">
        <v>118351489</v>
      </c>
      <c r="M1394" s="840">
        <v>1449085669</v>
      </c>
      <c r="N1394" s="839">
        <f>Indicadores[[#This Row],[Ventas]]/Indicadores[[#This Row],[Activos totales]]</f>
        <v>12.243915824329003</v>
      </c>
      <c r="O1394" s="837">
        <f>IF(Indicadores[[#This Row],[Ventas]]=0,0,Indicadores[[#This Row],[EBITDA]]/Indicadores[[#This Row],[Ventas]])</f>
        <v>1.3177971053414648E-2</v>
      </c>
      <c r="P1394" s="837">
        <f>IF(Indicadores[[#This Row],[Ventas]]=0,0,Indicadores[[#This Row],[UAI]]/Indicadores[[#This Row],[Ventas]])</f>
        <v>1.289625686029747E-2</v>
      </c>
      <c r="Q1394" s="837">
        <f>IFERROR(Indicadores[[#This Row],[Ventas]]/Indicadores[[#This Row],[Activos totales]],0)</f>
        <v>12.243915824329003</v>
      </c>
    </row>
    <row r="1395" spans="1:17" x14ac:dyDescent="0.3">
      <c r="A1395" s="13" t="str">
        <f>MID(Indicadores[[#This Row],[CIIU]],2,4)</f>
        <v>2429</v>
      </c>
      <c r="B1395" s="13" t="str">
        <f>Indicadores[[#This Row],[CIIU]]&amp;Indicadores[[#This Row],[Año]]</f>
        <v>C24292019</v>
      </c>
      <c r="C1395" s="845" t="s">
        <v>2279</v>
      </c>
      <c r="D1395" s="845" t="s">
        <v>2523</v>
      </c>
      <c r="E1395" s="843">
        <v>2019</v>
      </c>
      <c r="F1395" s="844" t="s">
        <v>2530</v>
      </c>
      <c r="G1395" s="842" t="s">
        <v>2531</v>
      </c>
      <c r="H1395" s="843" t="s">
        <v>2532</v>
      </c>
      <c r="I1395" s="842" t="s">
        <v>2531</v>
      </c>
      <c r="J1395" s="840">
        <v>532445</v>
      </c>
      <c r="K1395" s="840">
        <v>1264622</v>
      </c>
      <c r="L1395" s="841">
        <v>255054246</v>
      </c>
      <c r="M1395" s="840">
        <v>86888375</v>
      </c>
      <c r="N1395" s="839">
        <f>Indicadores[[#This Row],[Ventas]]/Indicadores[[#This Row],[Activos totales]]</f>
        <v>0.34066625575800058</v>
      </c>
      <c r="O1395" s="837">
        <f>IF(Indicadores[[#This Row],[Ventas]]=0,0,Indicadores[[#This Row],[EBITDA]]/Indicadores[[#This Row],[Ventas]])</f>
        <v>1.455455922613353E-2</v>
      </c>
      <c r="P1395" s="837">
        <f>IF(Indicadores[[#This Row],[Ventas]]=0,0,Indicadores[[#This Row],[UAI]]/Indicadores[[#This Row],[Ventas]])</f>
        <v>6.1279198742064172E-3</v>
      </c>
      <c r="Q1395" s="837">
        <f>IFERROR(Indicadores[[#This Row],[Ventas]]/Indicadores[[#This Row],[Activos totales]],0)</f>
        <v>0.34066625575800058</v>
      </c>
    </row>
    <row r="1396" spans="1:17" x14ac:dyDescent="0.3">
      <c r="A1396" s="13" t="str">
        <f>MID(Indicadores[[#This Row],[CIIU]],2,4)</f>
        <v>2431</v>
      </c>
      <c r="B1396" s="13" t="str">
        <f>Indicadores[[#This Row],[CIIU]]&amp;Indicadores[[#This Row],[Año]]</f>
        <v>C24312019</v>
      </c>
      <c r="C1396" s="845" t="s">
        <v>2279</v>
      </c>
      <c r="D1396" s="845" t="s">
        <v>2523</v>
      </c>
      <c r="E1396" s="843">
        <v>2019</v>
      </c>
      <c r="F1396" s="844" t="s">
        <v>2533</v>
      </c>
      <c r="G1396" s="842" t="s">
        <v>2534</v>
      </c>
      <c r="H1396" s="843" t="s">
        <v>2535</v>
      </c>
      <c r="I1396" s="842" t="s">
        <v>2534</v>
      </c>
      <c r="J1396" s="840">
        <v>6412906</v>
      </c>
      <c r="K1396" s="840">
        <v>12289887</v>
      </c>
      <c r="L1396" s="841">
        <v>172381468</v>
      </c>
      <c r="M1396" s="840">
        <v>168208943</v>
      </c>
      <c r="N1396" s="839">
        <f>Indicadores[[#This Row],[Ventas]]/Indicadores[[#This Row],[Activos totales]]</f>
        <v>0.97579481687671898</v>
      </c>
      <c r="O1396" s="837">
        <f>IF(Indicadores[[#This Row],[Ventas]]=0,0,Indicadores[[#This Row],[EBITDA]]/Indicadores[[#This Row],[Ventas]])</f>
        <v>7.3063219950202055E-2</v>
      </c>
      <c r="P1396" s="837">
        <f>IF(Indicadores[[#This Row],[Ventas]]=0,0,Indicadores[[#This Row],[UAI]]/Indicadores[[#This Row],[Ventas]])</f>
        <v>3.8124643586875166E-2</v>
      </c>
      <c r="Q1396" s="837">
        <f>IFERROR(Indicadores[[#This Row],[Ventas]]/Indicadores[[#This Row],[Activos totales]],0)</f>
        <v>0.97579481687671898</v>
      </c>
    </row>
    <row r="1397" spans="1:17" x14ac:dyDescent="0.3">
      <c r="A1397" s="13" t="str">
        <f>MID(Indicadores[[#This Row],[CIIU]],2,4)</f>
        <v>2432</v>
      </c>
      <c r="B1397" s="13" t="str">
        <f>Indicadores[[#This Row],[CIIU]]&amp;Indicadores[[#This Row],[Año]]</f>
        <v>C24322019</v>
      </c>
      <c r="C1397" s="845" t="s">
        <v>2279</v>
      </c>
      <c r="D1397" s="845" t="s">
        <v>2523</v>
      </c>
      <c r="E1397" s="843">
        <v>2019</v>
      </c>
      <c r="F1397" s="844" t="s">
        <v>2536</v>
      </c>
      <c r="G1397" s="842" t="s">
        <v>2537</v>
      </c>
      <c r="H1397" s="843" t="s">
        <v>2538</v>
      </c>
      <c r="I1397" s="842" t="s">
        <v>2539</v>
      </c>
      <c r="J1397" s="840">
        <v>7929912</v>
      </c>
      <c r="K1397" s="840">
        <v>11164753</v>
      </c>
      <c r="L1397" s="841">
        <v>170461989</v>
      </c>
      <c r="M1397" s="840">
        <v>212215326</v>
      </c>
      <c r="N1397" s="839">
        <f>Indicadores[[#This Row],[Ventas]]/Indicadores[[#This Row],[Activos totales]]</f>
        <v>1.2449422140674424</v>
      </c>
      <c r="O1397" s="837">
        <f>IF(Indicadores[[#This Row],[Ventas]]=0,0,Indicadores[[#This Row],[EBITDA]]/Indicadores[[#This Row],[Ventas]])</f>
        <v>5.2610493362764951E-2</v>
      </c>
      <c r="P1397" s="837">
        <f>IF(Indicadores[[#This Row],[Ventas]]=0,0,Indicadores[[#This Row],[UAI]]/Indicadores[[#This Row],[Ventas]])</f>
        <v>3.7367291747816556E-2</v>
      </c>
      <c r="Q1397" s="837">
        <f>IFERROR(Indicadores[[#This Row],[Ventas]]/Indicadores[[#This Row],[Activos totales]],0)</f>
        <v>1.2449422140674424</v>
      </c>
    </row>
    <row r="1398" spans="1:17" x14ac:dyDescent="0.3">
      <c r="A1398" s="13" t="str">
        <f>MID(Indicadores[[#This Row],[CIIU]],2,4)</f>
        <v>2511</v>
      </c>
      <c r="B1398" s="13" t="str">
        <f>Indicadores[[#This Row],[CIIU]]&amp;Indicadores[[#This Row],[Año]]</f>
        <v>C25112019</v>
      </c>
      <c r="C1398" s="845" t="s">
        <v>2279</v>
      </c>
      <c r="D1398" s="845" t="s">
        <v>2540</v>
      </c>
      <c r="E1398" s="843">
        <v>2019</v>
      </c>
      <c r="F1398" s="844" t="s">
        <v>2541</v>
      </c>
      <c r="G1398" s="842" t="s">
        <v>2542</v>
      </c>
      <c r="H1398" s="843" t="s">
        <v>2543</v>
      </c>
      <c r="I1398" s="842" t="s">
        <v>2542</v>
      </c>
      <c r="J1398" s="840">
        <v>130383104</v>
      </c>
      <c r="K1398" s="840">
        <v>188397343</v>
      </c>
      <c r="L1398" s="841">
        <v>3045231827</v>
      </c>
      <c r="M1398" s="840">
        <v>2896882801</v>
      </c>
      <c r="N1398" s="839">
        <f>Indicadores[[#This Row],[Ventas]]/Indicadores[[#This Row],[Activos totales]]</f>
        <v>0.95128481691124789</v>
      </c>
      <c r="O1398" s="837">
        <f>IF(Indicadores[[#This Row],[Ventas]]=0,0,Indicadores[[#This Row],[EBITDA]]/Indicadores[[#This Row],[Ventas]])</f>
        <v>6.5034506378706614E-2</v>
      </c>
      <c r="P1398" s="837">
        <f>IF(Indicadores[[#This Row],[Ventas]]=0,0,Indicadores[[#This Row],[UAI]]/Indicadores[[#This Row],[Ventas]])</f>
        <v>4.5008070038246605E-2</v>
      </c>
      <c r="Q1398" s="837">
        <f>IFERROR(Indicadores[[#This Row],[Ventas]]/Indicadores[[#This Row],[Activos totales]],0)</f>
        <v>0.95128481691124789</v>
      </c>
    </row>
    <row r="1399" spans="1:17" x14ac:dyDescent="0.3">
      <c r="A1399" s="13" t="str">
        <f>MID(Indicadores[[#This Row],[CIIU]],2,4)</f>
        <v>2512</v>
      </c>
      <c r="B1399" s="13" t="str">
        <f>Indicadores[[#This Row],[CIIU]]&amp;Indicadores[[#This Row],[Año]]</f>
        <v>C25122019</v>
      </c>
      <c r="C1399" s="845" t="s">
        <v>2279</v>
      </c>
      <c r="D1399" s="845" t="s">
        <v>2540</v>
      </c>
      <c r="E1399" s="843">
        <v>2019</v>
      </c>
      <c r="F1399" s="844" t="s">
        <v>2544</v>
      </c>
      <c r="G1399" s="842" t="s">
        <v>2545</v>
      </c>
      <c r="H1399" s="843" t="s">
        <v>2546</v>
      </c>
      <c r="I1399" s="842" t="s">
        <v>2545</v>
      </c>
      <c r="J1399" s="840">
        <v>7028537</v>
      </c>
      <c r="K1399" s="840">
        <v>9874376</v>
      </c>
      <c r="L1399" s="841">
        <v>124570223</v>
      </c>
      <c r="M1399" s="840">
        <v>83564514</v>
      </c>
      <c r="N1399" s="839">
        <f>Indicadores[[#This Row],[Ventas]]/Indicadores[[#This Row],[Activos totales]]</f>
        <v>0.67082254480671522</v>
      </c>
      <c r="O1399" s="837">
        <f>IF(Indicadores[[#This Row],[Ventas]]=0,0,Indicadores[[#This Row],[EBITDA]]/Indicadores[[#This Row],[Ventas]])</f>
        <v>0.1181647032614825</v>
      </c>
      <c r="P1399" s="837">
        <f>IF(Indicadores[[#This Row],[Ventas]]=0,0,Indicadores[[#This Row],[UAI]]/Indicadores[[#This Row],[Ventas]])</f>
        <v>8.410911119521379E-2</v>
      </c>
      <c r="Q1399" s="837">
        <f>IFERROR(Indicadores[[#This Row],[Ventas]]/Indicadores[[#This Row],[Activos totales]],0)</f>
        <v>0.67082254480671522</v>
      </c>
    </row>
    <row r="1400" spans="1:17" x14ac:dyDescent="0.3">
      <c r="A1400" s="13" t="str">
        <f>MID(Indicadores[[#This Row],[CIIU]],2,4)</f>
        <v>2513</v>
      </c>
      <c r="B1400" s="13" t="str">
        <f>Indicadores[[#This Row],[CIIU]]&amp;Indicadores[[#This Row],[Año]]</f>
        <v>C25132019</v>
      </c>
      <c r="C1400" s="845" t="s">
        <v>2279</v>
      </c>
      <c r="D1400" s="845" t="s">
        <v>2540</v>
      </c>
      <c r="E1400" s="843">
        <v>2019</v>
      </c>
      <c r="F1400" s="844" t="s">
        <v>2547</v>
      </c>
      <c r="G1400" s="842" t="s">
        <v>2548</v>
      </c>
      <c r="H1400" s="843" t="s">
        <v>2549</v>
      </c>
      <c r="I1400" s="842" t="s">
        <v>2548</v>
      </c>
      <c r="J1400" s="840">
        <v>7621513</v>
      </c>
      <c r="K1400" s="840">
        <v>8620518</v>
      </c>
      <c r="L1400" s="841">
        <v>53191446</v>
      </c>
      <c r="M1400" s="840">
        <v>56827558</v>
      </c>
      <c r="N1400" s="839">
        <f>Indicadores[[#This Row],[Ventas]]/Indicadores[[#This Row],[Activos totales]]</f>
        <v>1.0683589613262252</v>
      </c>
      <c r="O1400" s="837">
        <f>IF(Indicadores[[#This Row],[Ventas]]=0,0,Indicadores[[#This Row],[EBITDA]]/Indicadores[[#This Row],[Ventas]])</f>
        <v>0.15169608379089597</v>
      </c>
      <c r="P1400" s="837">
        <f>IF(Indicadores[[#This Row],[Ventas]]=0,0,Indicadores[[#This Row],[UAI]]/Indicadores[[#This Row],[Ventas]])</f>
        <v>0.13411649678840679</v>
      </c>
      <c r="Q1400" s="837">
        <f>IFERROR(Indicadores[[#This Row],[Ventas]]/Indicadores[[#This Row],[Activos totales]],0)</f>
        <v>1.0683589613262252</v>
      </c>
    </row>
    <row r="1401" spans="1:17" x14ac:dyDescent="0.3">
      <c r="A1401" s="13" t="str">
        <f>MID(Indicadores[[#This Row],[CIIU]],2,4)</f>
        <v>2591</v>
      </c>
      <c r="B1401" s="13" t="str">
        <f>Indicadores[[#This Row],[CIIU]]&amp;Indicadores[[#This Row],[Año]]</f>
        <v>C25912019</v>
      </c>
      <c r="C1401" s="845" t="s">
        <v>2279</v>
      </c>
      <c r="D1401" s="845" t="s">
        <v>2540</v>
      </c>
      <c r="E1401" s="843">
        <v>2019</v>
      </c>
      <c r="F1401" s="844" t="s">
        <v>2553</v>
      </c>
      <c r="G1401" s="842" t="s">
        <v>2554</v>
      </c>
      <c r="H1401" s="843" t="s">
        <v>2555</v>
      </c>
      <c r="I1401" s="842" t="s">
        <v>2554</v>
      </c>
      <c r="J1401" s="840">
        <v>3836452</v>
      </c>
      <c r="K1401" s="840">
        <v>5714367</v>
      </c>
      <c r="L1401" s="841">
        <v>95120138</v>
      </c>
      <c r="M1401" s="840">
        <v>114316907</v>
      </c>
      <c r="N1401" s="839">
        <f>Indicadores[[#This Row],[Ventas]]/Indicadores[[#This Row],[Activos totales]]</f>
        <v>1.2018160339506656</v>
      </c>
      <c r="O1401" s="837">
        <f>IF(Indicadores[[#This Row],[Ventas]]=0,0,Indicadores[[#This Row],[EBITDA]]/Indicadores[[#This Row],[Ventas]])</f>
        <v>4.998706796712056E-2</v>
      </c>
      <c r="P1401" s="837">
        <f>IF(Indicadores[[#This Row],[Ventas]]=0,0,Indicadores[[#This Row],[UAI]]/Indicadores[[#This Row],[Ventas]])</f>
        <v>3.3559795315315867E-2</v>
      </c>
      <c r="Q1401" s="837">
        <f>IFERROR(Indicadores[[#This Row],[Ventas]]/Indicadores[[#This Row],[Activos totales]],0)</f>
        <v>1.2018160339506656</v>
      </c>
    </row>
    <row r="1402" spans="1:17" x14ac:dyDescent="0.3">
      <c r="A1402" s="13" t="str">
        <f>MID(Indicadores[[#This Row],[CIIU]],2,4)</f>
        <v>2592</v>
      </c>
      <c r="B1402" s="13" t="str">
        <f>Indicadores[[#This Row],[CIIU]]&amp;Indicadores[[#This Row],[Año]]</f>
        <v>C25922019</v>
      </c>
      <c r="C1402" s="845" t="s">
        <v>2279</v>
      </c>
      <c r="D1402" s="845" t="s">
        <v>2540</v>
      </c>
      <c r="E1402" s="843">
        <v>2019</v>
      </c>
      <c r="F1402" s="844" t="s">
        <v>2556</v>
      </c>
      <c r="G1402" s="842" t="s">
        <v>2557</v>
      </c>
      <c r="H1402" s="843" t="s">
        <v>2558</v>
      </c>
      <c r="I1402" s="842" t="s">
        <v>2557</v>
      </c>
      <c r="J1402" s="840">
        <v>6143165</v>
      </c>
      <c r="K1402" s="840">
        <v>9599005</v>
      </c>
      <c r="L1402" s="841">
        <v>405195737</v>
      </c>
      <c r="M1402" s="840">
        <v>179048544</v>
      </c>
      <c r="N1402" s="839">
        <f>Indicadores[[#This Row],[Ventas]]/Indicadores[[#This Row],[Activos totales]]</f>
        <v>0.44188160844347679</v>
      </c>
      <c r="O1402" s="837">
        <f>IF(Indicadores[[#This Row],[Ventas]]=0,0,Indicadores[[#This Row],[EBITDA]]/Indicadores[[#This Row],[Ventas]])</f>
        <v>5.3611187142633229E-2</v>
      </c>
      <c r="P1402" s="837">
        <f>IF(Indicadores[[#This Row],[Ventas]]=0,0,Indicadores[[#This Row],[UAI]]/Indicadores[[#This Row],[Ventas]])</f>
        <v>3.4310052808918683E-2</v>
      </c>
      <c r="Q1402" s="837">
        <f>IFERROR(Indicadores[[#This Row],[Ventas]]/Indicadores[[#This Row],[Activos totales]],0)</f>
        <v>0.44188160844347679</v>
      </c>
    </row>
    <row r="1403" spans="1:17" x14ac:dyDescent="0.3">
      <c r="A1403" s="13" t="str">
        <f>MID(Indicadores[[#This Row],[CIIU]],2,4)</f>
        <v>2593</v>
      </c>
      <c r="B1403" s="13" t="str">
        <f>Indicadores[[#This Row],[CIIU]]&amp;Indicadores[[#This Row],[Año]]</f>
        <v>C25932019</v>
      </c>
      <c r="C1403" s="845" t="s">
        <v>2279</v>
      </c>
      <c r="D1403" s="845" t="s">
        <v>2540</v>
      </c>
      <c r="E1403" s="843">
        <v>2019</v>
      </c>
      <c r="F1403" s="844" t="s">
        <v>2559</v>
      </c>
      <c r="G1403" s="842" t="s">
        <v>2560</v>
      </c>
      <c r="H1403" s="843" t="s">
        <v>2561</v>
      </c>
      <c r="I1403" s="842" t="s">
        <v>2560</v>
      </c>
      <c r="J1403" s="840">
        <v>28957363</v>
      </c>
      <c r="K1403" s="840">
        <v>38458184</v>
      </c>
      <c r="L1403" s="841">
        <v>393946880</v>
      </c>
      <c r="M1403" s="840">
        <v>481092427</v>
      </c>
      <c r="N1403" s="839">
        <f>Indicadores[[#This Row],[Ventas]]/Indicadores[[#This Row],[Activos totales]]</f>
        <v>1.2212114156101452</v>
      </c>
      <c r="O1403" s="837">
        <f>IF(Indicadores[[#This Row],[Ventas]]=0,0,Indicadores[[#This Row],[EBITDA]]/Indicadores[[#This Row],[Ventas]])</f>
        <v>7.9939283683631956E-2</v>
      </c>
      <c r="P1403" s="837">
        <f>IF(Indicadores[[#This Row],[Ventas]]=0,0,Indicadores[[#This Row],[UAI]]/Indicadores[[#This Row],[Ventas]])</f>
        <v>6.0190851850594605E-2</v>
      </c>
      <c r="Q1403" s="837">
        <f>IFERROR(Indicadores[[#This Row],[Ventas]]/Indicadores[[#This Row],[Activos totales]],0)</f>
        <v>1.2212114156101452</v>
      </c>
    </row>
    <row r="1404" spans="1:17" x14ac:dyDescent="0.3">
      <c r="A1404" s="13" t="str">
        <f>MID(Indicadores[[#This Row],[CIIU]],2,4)</f>
        <v>2599</v>
      </c>
      <c r="B1404" s="13" t="str">
        <f>Indicadores[[#This Row],[CIIU]]&amp;Indicadores[[#This Row],[Año]]</f>
        <v>C25992019</v>
      </c>
      <c r="C1404" s="845" t="s">
        <v>2279</v>
      </c>
      <c r="D1404" s="845" t="s">
        <v>2540</v>
      </c>
      <c r="E1404" s="843">
        <v>2019</v>
      </c>
      <c r="F1404" s="844" t="s">
        <v>2562</v>
      </c>
      <c r="G1404" s="842" t="s">
        <v>2563</v>
      </c>
      <c r="H1404" s="843" t="s">
        <v>2564</v>
      </c>
      <c r="I1404" s="842" t="s">
        <v>2563</v>
      </c>
      <c r="J1404" s="840">
        <v>143635489</v>
      </c>
      <c r="K1404" s="840">
        <v>211835541</v>
      </c>
      <c r="L1404" s="841">
        <v>3447771648</v>
      </c>
      <c r="M1404" s="840">
        <v>2942074627</v>
      </c>
      <c r="N1404" s="839">
        <f>Indicadores[[#This Row],[Ventas]]/Indicadores[[#This Row],[Activos totales]]</f>
        <v>0.85332641699361178</v>
      </c>
      <c r="O1404" s="837">
        <f>IF(Indicadores[[#This Row],[Ventas]]=0,0,Indicadores[[#This Row],[EBITDA]]/Indicadores[[#This Row],[Ventas]])</f>
        <v>7.2002096430846249E-2</v>
      </c>
      <c r="P1404" s="837">
        <f>IF(Indicadores[[#This Row],[Ventas]]=0,0,Indicadores[[#This Row],[UAI]]/Indicadores[[#This Row],[Ventas]])</f>
        <v>4.8821157587856115E-2</v>
      </c>
      <c r="Q1404" s="837">
        <f>IFERROR(Indicadores[[#This Row],[Ventas]]/Indicadores[[#This Row],[Activos totales]],0)</f>
        <v>0.85332641699361178</v>
      </c>
    </row>
    <row r="1405" spans="1:17" x14ac:dyDescent="0.3">
      <c r="A1405" s="13" t="str">
        <f>MID(Indicadores[[#This Row],[CIIU]],2,4)</f>
        <v>2610</v>
      </c>
      <c r="B1405" s="13" t="str">
        <f>Indicadores[[#This Row],[CIIU]]&amp;Indicadores[[#This Row],[Año]]</f>
        <v>C26102019</v>
      </c>
      <c r="C1405" s="845" t="s">
        <v>2279</v>
      </c>
      <c r="D1405" s="845" t="s">
        <v>2565</v>
      </c>
      <c r="E1405" s="843">
        <v>2019</v>
      </c>
      <c r="F1405" s="844" t="s">
        <v>2566</v>
      </c>
      <c r="G1405" s="842" t="s">
        <v>2567</v>
      </c>
      <c r="H1405" s="843" t="s">
        <v>2568</v>
      </c>
      <c r="I1405" s="842" t="s">
        <v>2567</v>
      </c>
      <c r="J1405" s="840">
        <v>280990</v>
      </c>
      <c r="K1405" s="840">
        <v>426672</v>
      </c>
      <c r="L1405" s="841">
        <v>3310043</v>
      </c>
      <c r="M1405" s="840">
        <v>4420298</v>
      </c>
      <c r="N1405" s="839">
        <f>Indicadores[[#This Row],[Ventas]]/Indicadores[[#This Row],[Activos totales]]</f>
        <v>1.3354201138776747</v>
      </c>
      <c r="O1405" s="837">
        <f>IF(Indicadores[[#This Row],[Ventas]]=0,0,Indicadores[[#This Row],[EBITDA]]/Indicadores[[#This Row],[Ventas]])</f>
        <v>9.6525618860990814E-2</v>
      </c>
      <c r="P1405" s="837">
        <f>IF(Indicadores[[#This Row],[Ventas]]=0,0,Indicadores[[#This Row],[UAI]]/Indicadores[[#This Row],[Ventas]])</f>
        <v>6.3568112376133912E-2</v>
      </c>
      <c r="Q1405" s="837">
        <f>IFERROR(Indicadores[[#This Row],[Ventas]]/Indicadores[[#This Row],[Activos totales]],0)</f>
        <v>1.3354201138776747</v>
      </c>
    </row>
    <row r="1406" spans="1:17" x14ac:dyDescent="0.3">
      <c r="A1406" s="13" t="str">
        <f>MID(Indicadores[[#This Row],[CIIU]],2,4)</f>
        <v>2620</v>
      </c>
      <c r="B1406" s="13" t="str">
        <f>Indicadores[[#This Row],[CIIU]]&amp;Indicadores[[#This Row],[Año]]</f>
        <v>C26202019</v>
      </c>
      <c r="C1406" s="845" t="s">
        <v>2279</v>
      </c>
      <c r="D1406" s="845" t="s">
        <v>2565</v>
      </c>
      <c r="E1406" s="843">
        <v>2019</v>
      </c>
      <c r="F1406" s="844" t="s">
        <v>2569</v>
      </c>
      <c r="G1406" s="842" t="s">
        <v>2570</v>
      </c>
      <c r="H1406" s="843" t="s">
        <v>2571</v>
      </c>
      <c r="I1406" s="842" t="s">
        <v>2570</v>
      </c>
      <c r="J1406" s="840">
        <v>4516388</v>
      </c>
      <c r="K1406" s="840">
        <v>4729763</v>
      </c>
      <c r="L1406" s="841">
        <v>63031496</v>
      </c>
      <c r="M1406" s="840">
        <v>75869361</v>
      </c>
      <c r="N1406" s="839">
        <f>Indicadores[[#This Row],[Ventas]]/Indicadores[[#This Row],[Activos totales]]</f>
        <v>1.2036738109468321</v>
      </c>
      <c r="O1406" s="837">
        <f>IF(Indicadores[[#This Row],[Ventas]]=0,0,Indicadores[[#This Row],[EBITDA]]/Indicadores[[#This Row],[Ventas]])</f>
        <v>6.2340883561679133E-2</v>
      </c>
      <c r="P1406" s="837">
        <f>IF(Indicadores[[#This Row],[Ventas]]=0,0,Indicadores[[#This Row],[UAI]]/Indicadores[[#This Row],[Ventas]])</f>
        <v>5.9528483441425056E-2</v>
      </c>
      <c r="Q1406" s="837">
        <f>IFERROR(Indicadores[[#This Row],[Ventas]]/Indicadores[[#This Row],[Activos totales]],0)</f>
        <v>1.2036738109468321</v>
      </c>
    </row>
    <row r="1407" spans="1:17" x14ac:dyDescent="0.3">
      <c r="A1407" s="13" t="str">
        <f>MID(Indicadores[[#This Row],[CIIU]],2,4)</f>
        <v>2640</v>
      </c>
      <c r="B1407" s="13" t="str">
        <f>Indicadores[[#This Row],[CIIU]]&amp;Indicadores[[#This Row],[Año]]</f>
        <v>C26402019</v>
      </c>
      <c r="C1407" s="845" t="s">
        <v>2279</v>
      </c>
      <c r="D1407" s="845" t="s">
        <v>2565</v>
      </c>
      <c r="E1407" s="843">
        <v>2019</v>
      </c>
      <c r="F1407" s="844" t="s">
        <v>3549</v>
      </c>
      <c r="G1407" s="842" t="s">
        <v>3550</v>
      </c>
      <c r="H1407" s="843" t="s">
        <v>3551</v>
      </c>
      <c r="I1407" s="842" t="s">
        <v>3550</v>
      </c>
      <c r="J1407" s="840">
        <v>4342727</v>
      </c>
      <c r="K1407" s="840">
        <v>6861702</v>
      </c>
      <c r="L1407" s="841">
        <v>87203811</v>
      </c>
      <c r="M1407" s="840">
        <v>49121850</v>
      </c>
      <c r="N1407" s="839">
        <f>Indicadores[[#This Row],[Ventas]]/Indicadores[[#This Row],[Activos totales]]</f>
        <v>0.56329934938279247</v>
      </c>
      <c r="O1407" s="837">
        <f>IF(Indicadores[[#This Row],[Ventas]]=0,0,Indicadores[[#This Row],[EBITDA]]/Indicadores[[#This Row],[Ventas]])</f>
        <v>0.13968736926642625</v>
      </c>
      <c r="P1407" s="837">
        <f>IF(Indicadores[[#This Row],[Ventas]]=0,0,Indicadores[[#This Row],[UAI]]/Indicadores[[#This Row],[Ventas]])</f>
        <v>8.840723629097845E-2</v>
      </c>
      <c r="Q1407" s="837">
        <f>IFERROR(Indicadores[[#This Row],[Ventas]]/Indicadores[[#This Row],[Activos totales]],0)</f>
        <v>0.56329934938279247</v>
      </c>
    </row>
    <row r="1408" spans="1:17" x14ac:dyDescent="0.3">
      <c r="A1408" s="13" t="str">
        <f>MID(Indicadores[[#This Row],[CIIU]],2,4)</f>
        <v>2651</v>
      </c>
      <c r="B1408" s="13" t="str">
        <f>Indicadores[[#This Row],[CIIU]]&amp;Indicadores[[#This Row],[Año]]</f>
        <v>C26512019</v>
      </c>
      <c r="C1408" s="845" t="s">
        <v>2279</v>
      </c>
      <c r="D1408" s="845" t="s">
        <v>2565</v>
      </c>
      <c r="E1408" s="843">
        <v>2019</v>
      </c>
      <c r="F1408" s="844" t="s">
        <v>2572</v>
      </c>
      <c r="G1408" s="842" t="s">
        <v>2573</v>
      </c>
      <c r="H1408" s="843" t="s">
        <v>2574</v>
      </c>
      <c r="I1408" s="842" t="s">
        <v>2573</v>
      </c>
      <c r="J1408" s="840">
        <v>4027870</v>
      </c>
      <c r="K1408" s="840">
        <v>4953897</v>
      </c>
      <c r="L1408" s="841">
        <v>39516403</v>
      </c>
      <c r="M1408" s="840">
        <v>51010364</v>
      </c>
      <c r="N1408" s="839">
        <f>Indicadores[[#This Row],[Ventas]]/Indicadores[[#This Row],[Activos totales]]</f>
        <v>1.2908655679010055</v>
      </c>
      <c r="O1408" s="837">
        <f>IF(Indicadores[[#This Row],[Ventas]]=0,0,Indicadores[[#This Row],[EBITDA]]/Indicadores[[#This Row],[Ventas]])</f>
        <v>9.7115499901157337E-2</v>
      </c>
      <c r="P1408" s="837">
        <f>IF(Indicadores[[#This Row],[Ventas]]=0,0,Indicadores[[#This Row],[UAI]]/Indicadores[[#This Row],[Ventas]])</f>
        <v>7.896179686151622E-2</v>
      </c>
      <c r="Q1408" s="837">
        <f>IFERROR(Indicadores[[#This Row],[Ventas]]/Indicadores[[#This Row],[Activos totales]],0)</f>
        <v>1.2908655679010055</v>
      </c>
    </row>
    <row r="1409" spans="1:17" x14ac:dyDescent="0.3">
      <c r="A1409" s="13" t="str">
        <f>MID(Indicadores[[#This Row],[CIIU]],2,4)</f>
        <v>2660</v>
      </c>
      <c r="B1409" s="13" t="str">
        <f>Indicadores[[#This Row],[CIIU]]&amp;Indicadores[[#This Row],[Año]]</f>
        <v>C26602019</v>
      </c>
      <c r="C1409" s="845" t="s">
        <v>2279</v>
      </c>
      <c r="D1409" s="845" t="s">
        <v>2565</v>
      </c>
      <c r="E1409" s="843">
        <v>2019</v>
      </c>
      <c r="F1409" s="844" t="s">
        <v>2575</v>
      </c>
      <c r="G1409" s="842" t="s">
        <v>2576</v>
      </c>
      <c r="H1409" s="843" t="s">
        <v>2577</v>
      </c>
      <c r="I1409" s="842" t="s">
        <v>2576</v>
      </c>
      <c r="J1409" s="840">
        <v>456796</v>
      </c>
      <c r="K1409" s="840">
        <v>456796</v>
      </c>
      <c r="L1409" s="841">
        <v>9876598</v>
      </c>
      <c r="M1409" s="840">
        <v>5656801</v>
      </c>
      <c r="N1409" s="839">
        <f>Indicadores[[#This Row],[Ventas]]/Indicadores[[#This Row],[Activos totales]]</f>
        <v>0.57274792393089202</v>
      </c>
      <c r="O1409" s="837">
        <f>IF(Indicadores[[#This Row],[Ventas]]=0,0,Indicadores[[#This Row],[EBITDA]]/Indicadores[[#This Row],[Ventas]])</f>
        <v>8.0751647441725458E-2</v>
      </c>
      <c r="P1409" s="837">
        <f>IF(Indicadores[[#This Row],[Ventas]]=0,0,Indicadores[[#This Row],[UAI]]/Indicadores[[#This Row],[Ventas]])</f>
        <v>8.0751647441725458E-2</v>
      </c>
      <c r="Q1409" s="837">
        <f>IFERROR(Indicadores[[#This Row],[Ventas]]/Indicadores[[#This Row],[Activos totales]],0)</f>
        <v>0.57274792393089202</v>
      </c>
    </row>
    <row r="1410" spans="1:17" x14ac:dyDescent="0.3">
      <c r="A1410" s="13" t="str">
        <f>MID(Indicadores[[#This Row],[CIIU]],2,4)</f>
        <v>2670</v>
      </c>
      <c r="B1410" s="13" t="str">
        <f>Indicadores[[#This Row],[CIIU]]&amp;Indicadores[[#This Row],[Año]]</f>
        <v>C26702019</v>
      </c>
      <c r="C1410" s="845" t="s">
        <v>2279</v>
      </c>
      <c r="D1410" s="845" t="s">
        <v>2565</v>
      </c>
      <c r="E1410" s="843">
        <v>2019</v>
      </c>
      <c r="F1410" s="844" t="s">
        <v>2578</v>
      </c>
      <c r="G1410" s="842" t="s">
        <v>2579</v>
      </c>
      <c r="H1410" s="843" t="s">
        <v>2580</v>
      </c>
      <c r="I1410" s="842" t="s">
        <v>2579</v>
      </c>
      <c r="J1410" s="840">
        <v>463552</v>
      </c>
      <c r="K1410" s="840">
        <v>489283</v>
      </c>
      <c r="L1410" s="841">
        <v>44169693</v>
      </c>
      <c r="M1410" s="840">
        <v>30341965</v>
      </c>
      <c r="N1410" s="839">
        <f>Indicadores[[#This Row],[Ventas]]/Indicadores[[#This Row],[Activos totales]]</f>
        <v>0.68694081708921995</v>
      </c>
      <c r="O1410" s="837">
        <f>IF(Indicadores[[#This Row],[Ventas]]=0,0,Indicadores[[#This Row],[EBITDA]]/Indicadores[[#This Row],[Ventas]])</f>
        <v>1.6125620077671304E-2</v>
      </c>
      <c r="P1410" s="837">
        <f>IF(Indicadores[[#This Row],[Ventas]]=0,0,Indicadores[[#This Row],[UAI]]/Indicadores[[#This Row],[Ventas]])</f>
        <v>1.5277586669156068E-2</v>
      </c>
      <c r="Q1410" s="837">
        <f>IFERROR(Indicadores[[#This Row],[Ventas]]/Indicadores[[#This Row],[Activos totales]],0)</f>
        <v>0.68694081708921995</v>
      </c>
    </row>
    <row r="1411" spans="1:17" x14ac:dyDescent="0.3">
      <c r="A1411" s="13" t="str">
        <f>MID(Indicadores[[#This Row],[CIIU]],2,4)</f>
        <v>2711</v>
      </c>
      <c r="B1411" s="13" t="str">
        <f>Indicadores[[#This Row],[CIIU]]&amp;Indicadores[[#This Row],[Año]]</f>
        <v>C27112019</v>
      </c>
      <c r="C1411" s="845" t="s">
        <v>2279</v>
      </c>
      <c r="D1411" s="845" t="s">
        <v>2581</v>
      </c>
      <c r="E1411" s="843">
        <v>2019</v>
      </c>
      <c r="F1411" s="844" t="s">
        <v>2582</v>
      </c>
      <c r="G1411" s="842" t="s">
        <v>2583</v>
      </c>
      <c r="H1411" s="843" t="s">
        <v>2584</v>
      </c>
      <c r="I1411" s="842" t="s">
        <v>2583</v>
      </c>
      <c r="J1411" s="840">
        <v>27832312</v>
      </c>
      <c r="K1411" s="840">
        <v>42488431</v>
      </c>
      <c r="L1411" s="841">
        <v>765563318</v>
      </c>
      <c r="M1411" s="840">
        <v>644017244</v>
      </c>
      <c r="N1411" s="839">
        <f>Indicadores[[#This Row],[Ventas]]/Indicadores[[#This Row],[Activos totales]]</f>
        <v>0.84123315323214065</v>
      </c>
      <c r="O1411" s="837">
        <f>IF(Indicadores[[#This Row],[Ventas]]=0,0,Indicadores[[#This Row],[EBITDA]]/Indicadores[[#This Row],[Ventas]])</f>
        <v>6.5974057986559129E-2</v>
      </c>
      <c r="P1411" s="837">
        <f>IF(Indicadores[[#This Row],[Ventas]]=0,0,Indicadores[[#This Row],[UAI]]/Indicadores[[#This Row],[Ventas]])</f>
        <v>4.3216718588361278E-2</v>
      </c>
      <c r="Q1411" s="837">
        <f>IFERROR(Indicadores[[#This Row],[Ventas]]/Indicadores[[#This Row],[Activos totales]],0)</f>
        <v>0.84123315323214065</v>
      </c>
    </row>
    <row r="1412" spans="1:17" x14ac:dyDescent="0.3">
      <c r="A1412" s="13" t="str">
        <f>MID(Indicadores[[#This Row],[CIIU]],2,4)</f>
        <v>2712</v>
      </c>
      <c r="B1412" s="13" t="str">
        <f>Indicadores[[#This Row],[CIIU]]&amp;Indicadores[[#This Row],[Año]]</f>
        <v>C27122019</v>
      </c>
      <c r="C1412" s="845" t="s">
        <v>2279</v>
      </c>
      <c r="D1412" s="845" t="s">
        <v>2581</v>
      </c>
      <c r="E1412" s="843">
        <v>2019</v>
      </c>
      <c r="F1412" s="844" t="s">
        <v>2585</v>
      </c>
      <c r="G1412" s="842" t="s">
        <v>2586</v>
      </c>
      <c r="H1412" s="843" t="s">
        <v>2587</v>
      </c>
      <c r="I1412" s="842" t="s">
        <v>2586</v>
      </c>
      <c r="J1412" s="840">
        <v>8703554</v>
      </c>
      <c r="K1412" s="840">
        <v>9965199</v>
      </c>
      <c r="L1412" s="841">
        <v>127768133</v>
      </c>
      <c r="M1412" s="840">
        <v>141677389</v>
      </c>
      <c r="N1412" s="839">
        <f>Indicadores[[#This Row],[Ventas]]/Indicadores[[#This Row],[Activos totales]]</f>
        <v>1.108863264050356</v>
      </c>
      <c r="O1412" s="837">
        <f>IF(Indicadores[[#This Row],[Ventas]]=0,0,Indicadores[[#This Row],[EBITDA]]/Indicadores[[#This Row],[Ventas]])</f>
        <v>7.0337257556320434E-2</v>
      </c>
      <c r="P1412" s="837">
        <f>IF(Indicadores[[#This Row],[Ventas]]=0,0,Indicadores[[#This Row],[UAI]]/Indicadores[[#This Row],[Ventas]])</f>
        <v>6.1432202142008702E-2</v>
      </c>
      <c r="Q1412" s="837">
        <f>IFERROR(Indicadores[[#This Row],[Ventas]]/Indicadores[[#This Row],[Activos totales]],0)</f>
        <v>1.108863264050356</v>
      </c>
    </row>
    <row r="1413" spans="1:17" x14ac:dyDescent="0.3">
      <c r="A1413" s="13" t="str">
        <f>MID(Indicadores[[#This Row],[CIIU]],2,4)</f>
        <v>2720</v>
      </c>
      <c r="B1413" s="13" t="str">
        <f>Indicadores[[#This Row],[CIIU]]&amp;Indicadores[[#This Row],[Año]]</f>
        <v>C27202019</v>
      </c>
      <c r="C1413" s="845" t="s">
        <v>2279</v>
      </c>
      <c r="D1413" s="845" t="s">
        <v>2581</v>
      </c>
      <c r="E1413" s="843">
        <v>2019</v>
      </c>
      <c r="F1413" s="844" t="s">
        <v>2588</v>
      </c>
      <c r="G1413" s="842" t="s">
        <v>2589</v>
      </c>
      <c r="H1413" s="843" t="s">
        <v>2590</v>
      </c>
      <c r="I1413" s="842" t="s">
        <v>2589</v>
      </c>
      <c r="J1413" s="840">
        <v>77543235</v>
      </c>
      <c r="K1413" s="840">
        <v>96147123</v>
      </c>
      <c r="L1413" s="841">
        <v>821177693</v>
      </c>
      <c r="M1413" s="840">
        <v>709641239</v>
      </c>
      <c r="N1413" s="839">
        <f>Indicadores[[#This Row],[Ventas]]/Indicadores[[#This Row],[Activos totales]]</f>
        <v>0.86417500749134446</v>
      </c>
      <c r="O1413" s="837">
        <f>IF(Indicadores[[#This Row],[Ventas]]=0,0,Indicadores[[#This Row],[EBITDA]]/Indicadores[[#This Row],[Ventas]])</f>
        <v>0.13548694426987776</v>
      </c>
      <c r="P1413" s="837">
        <f>IF(Indicadores[[#This Row],[Ventas]]=0,0,Indicadores[[#This Row],[UAI]]/Indicadores[[#This Row],[Ventas]])</f>
        <v>0.10927103829150493</v>
      </c>
      <c r="Q1413" s="837">
        <f>IFERROR(Indicadores[[#This Row],[Ventas]]/Indicadores[[#This Row],[Activos totales]],0)</f>
        <v>0.86417500749134446</v>
      </c>
    </row>
    <row r="1414" spans="1:17" x14ac:dyDescent="0.3">
      <c r="A1414" s="13" t="str">
        <f>MID(Indicadores[[#This Row],[CIIU]],2,4)</f>
        <v>2731</v>
      </c>
      <c r="B1414" s="13" t="str">
        <f>Indicadores[[#This Row],[CIIU]]&amp;Indicadores[[#This Row],[Año]]</f>
        <v>C27312019</v>
      </c>
      <c r="C1414" s="845" t="s">
        <v>2279</v>
      </c>
      <c r="D1414" s="845" t="s">
        <v>2581</v>
      </c>
      <c r="E1414" s="843">
        <v>2019</v>
      </c>
      <c r="F1414" s="844" t="s">
        <v>2591</v>
      </c>
      <c r="G1414" s="842" t="s">
        <v>2592</v>
      </c>
      <c r="H1414" s="843" t="s">
        <v>2593</v>
      </c>
      <c r="I1414" s="842" t="s">
        <v>2592</v>
      </c>
      <c r="J1414" s="840">
        <v>15588082</v>
      </c>
      <c r="K1414" s="840">
        <v>33454817</v>
      </c>
      <c r="L1414" s="841">
        <v>898628409</v>
      </c>
      <c r="M1414" s="840">
        <v>1126732619</v>
      </c>
      <c r="N1414" s="839">
        <f>Indicadores[[#This Row],[Ventas]]/Indicadores[[#This Row],[Activos totales]]</f>
        <v>1.2538359656955826</v>
      </c>
      <c r="O1414" s="837">
        <f>IF(Indicadores[[#This Row],[Ventas]]=0,0,Indicadores[[#This Row],[EBITDA]]/Indicadores[[#This Row],[Ventas]])</f>
        <v>2.9691886465212914E-2</v>
      </c>
      <c r="P1414" s="837">
        <f>IF(Indicadores[[#This Row],[Ventas]]=0,0,Indicadores[[#This Row],[UAI]]/Indicadores[[#This Row],[Ventas]])</f>
        <v>1.3834765886013636E-2</v>
      </c>
      <c r="Q1414" s="837">
        <f>IFERROR(Indicadores[[#This Row],[Ventas]]/Indicadores[[#This Row],[Activos totales]],0)</f>
        <v>1.2538359656955826</v>
      </c>
    </row>
    <row r="1415" spans="1:17" x14ac:dyDescent="0.3">
      <c r="A1415" s="13" t="str">
        <f>MID(Indicadores[[#This Row],[CIIU]],2,4)</f>
        <v>2732</v>
      </c>
      <c r="B1415" s="13" t="str">
        <f>Indicadores[[#This Row],[CIIU]]&amp;Indicadores[[#This Row],[Año]]</f>
        <v>C27322019</v>
      </c>
      <c r="C1415" s="845" t="s">
        <v>2279</v>
      </c>
      <c r="D1415" s="845" t="s">
        <v>2581</v>
      </c>
      <c r="E1415" s="843">
        <v>2019</v>
      </c>
      <c r="F1415" s="844" t="s">
        <v>3552</v>
      </c>
      <c r="G1415" s="842" t="s">
        <v>3553</v>
      </c>
      <c r="H1415" s="843" t="s">
        <v>3554</v>
      </c>
      <c r="I1415" s="842" t="s">
        <v>3553</v>
      </c>
      <c r="J1415" s="840">
        <v>50463757</v>
      </c>
      <c r="K1415" s="840">
        <v>54706422</v>
      </c>
      <c r="L1415" s="841">
        <v>175331983</v>
      </c>
      <c r="M1415" s="840">
        <v>180288505</v>
      </c>
      <c r="N1415" s="839">
        <f>Indicadores[[#This Row],[Ventas]]/Indicadores[[#This Row],[Activos totales]]</f>
        <v>1.0282693545991548</v>
      </c>
      <c r="O1415" s="837">
        <f>IF(Indicadores[[#This Row],[Ventas]]=0,0,Indicadores[[#This Row],[EBITDA]]/Indicadores[[#This Row],[Ventas]])</f>
        <v>0.30343821421116118</v>
      </c>
      <c r="P1415" s="837">
        <f>IF(Indicadores[[#This Row],[Ventas]]=0,0,Indicadores[[#This Row],[UAI]]/Indicadores[[#This Row],[Ventas]])</f>
        <v>0.2799055713507636</v>
      </c>
      <c r="Q1415" s="837">
        <f>IFERROR(Indicadores[[#This Row],[Ventas]]/Indicadores[[#This Row],[Activos totales]],0)</f>
        <v>1.0282693545991548</v>
      </c>
    </row>
    <row r="1416" spans="1:17" x14ac:dyDescent="0.3">
      <c r="A1416" s="13" t="str">
        <f>MID(Indicadores[[#This Row],[CIIU]],2,4)</f>
        <v>2740</v>
      </c>
      <c r="B1416" s="13" t="str">
        <f>Indicadores[[#This Row],[CIIU]]&amp;Indicadores[[#This Row],[Año]]</f>
        <v>C27402019</v>
      </c>
      <c r="C1416" s="845" t="s">
        <v>2279</v>
      </c>
      <c r="D1416" s="845" t="s">
        <v>2581</v>
      </c>
      <c r="E1416" s="843">
        <v>2019</v>
      </c>
      <c r="F1416" s="844" t="s">
        <v>2594</v>
      </c>
      <c r="G1416" s="842" t="s">
        <v>2595</v>
      </c>
      <c r="H1416" s="843" t="s">
        <v>2596</v>
      </c>
      <c r="I1416" s="842" t="s">
        <v>2595</v>
      </c>
      <c r="J1416" s="840">
        <v>39136886</v>
      </c>
      <c r="K1416" s="840">
        <v>42398506</v>
      </c>
      <c r="L1416" s="841">
        <v>437450222</v>
      </c>
      <c r="M1416" s="840">
        <v>394525534</v>
      </c>
      <c r="N1416" s="839">
        <f>Indicadores[[#This Row],[Ventas]]/Indicadores[[#This Row],[Activos totales]]</f>
        <v>0.90187526296420528</v>
      </c>
      <c r="O1416" s="837">
        <f>IF(Indicadores[[#This Row],[Ventas]]=0,0,Indicadores[[#This Row],[EBITDA]]/Indicadores[[#This Row],[Ventas]])</f>
        <v>0.10746707714994183</v>
      </c>
      <c r="P1416" s="837">
        <f>IF(Indicadores[[#This Row],[Ventas]]=0,0,Indicadores[[#This Row],[UAI]]/Indicadores[[#This Row],[Ventas]])</f>
        <v>9.9199880938504736E-2</v>
      </c>
      <c r="Q1416" s="837">
        <f>IFERROR(Indicadores[[#This Row],[Ventas]]/Indicadores[[#This Row],[Activos totales]],0)</f>
        <v>0.90187526296420528</v>
      </c>
    </row>
    <row r="1417" spans="1:17" x14ac:dyDescent="0.3">
      <c r="A1417" s="13" t="str">
        <f>MID(Indicadores[[#This Row],[CIIU]],2,4)</f>
        <v>2750</v>
      </c>
      <c r="B1417" s="13" t="str">
        <f>Indicadores[[#This Row],[CIIU]]&amp;Indicadores[[#This Row],[Año]]</f>
        <v>C27502019</v>
      </c>
      <c r="C1417" s="845" t="s">
        <v>2279</v>
      </c>
      <c r="D1417" s="845" t="s">
        <v>2581</v>
      </c>
      <c r="E1417" s="843">
        <v>2019</v>
      </c>
      <c r="F1417" s="844" t="s">
        <v>2597</v>
      </c>
      <c r="G1417" s="842" t="s">
        <v>2598</v>
      </c>
      <c r="H1417" s="843" t="s">
        <v>2599</v>
      </c>
      <c r="I1417" s="842" t="s">
        <v>2598</v>
      </c>
      <c r="J1417" s="840">
        <v>134204747</v>
      </c>
      <c r="K1417" s="840">
        <v>215107706</v>
      </c>
      <c r="L1417" s="841">
        <v>2525239345</v>
      </c>
      <c r="M1417" s="840">
        <v>2668397801</v>
      </c>
      <c r="N1417" s="839">
        <f>Indicadores[[#This Row],[Ventas]]/Indicadores[[#This Row],[Activos totales]]</f>
        <v>1.0566910444681037</v>
      </c>
      <c r="O1417" s="837">
        <f>IF(Indicadores[[#This Row],[Ventas]]=0,0,Indicadores[[#This Row],[EBITDA]]/Indicadores[[#This Row],[Ventas]])</f>
        <v>8.0613057738013028E-2</v>
      </c>
      <c r="P1417" s="837">
        <f>IF(Indicadores[[#This Row],[Ventas]]=0,0,Indicadores[[#This Row],[UAI]]/Indicadores[[#This Row],[Ventas]])</f>
        <v>5.0294130414028172E-2</v>
      </c>
      <c r="Q1417" s="837">
        <f>IFERROR(Indicadores[[#This Row],[Ventas]]/Indicadores[[#This Row],[Activos totales]],0)</f>
        <v>1.0566910444681037</v>
      </c>
    </row>
    <row r="1418" spans="1:17" x14ac:dyDescent="0.3">
      <c r="A1418" s="13" t="str">
        <f>MID(Indicadores[[#This Row],[CIIU]],2,4)</f>
        <v>2790</v>
      </c>
      <c r="B1418" s="13" t="str">
        <f>Indicadores[[#This Row],[CIIU]]&amp;Indicadores[[#This Row],[Año]]</f>
        <v>C27902019</v>
      </c>
      <c r="C1418" s="845" t="s">
        <v>2279</v>
      </c>
      <c r="D1418" s="845" t="s">
        <v>2581</v>
      </c>
      <c r="E1418" s="843">
        <v>2019</v>
      </c>
      <c r="F1418" s="844" t="s">
        <v>2600</v>
      </c>
      <c r="G1418" s="842" t="s">
        <v>2601</v>
      </c>
      <c r="H1418" s="843" t="s">
        <v>2602</v>
      </c>
      <c r="I1418" s="842" t="s">
        <v>2601</v>
      </c>
      <c r="J1418" s="840">
        <v>18620591</v>
      </c>
      <c r="K1418" s="840">
        <v>41341945</v>
      </c>
      <c r="L1418" s="841">
        <v>1359878452</v>
      </c>
      <c r="M1418" s="840">
        <v>1591474054</v>
      </c>
      <c r="N1418" s="839">
        <f>Indicadores[[#This Row],[Ventas]]/Indicadores[[#This Row],[Activos totales]]</f>
        <v>1.1703061046811851</v>
      </c>
      <c r="O1418" s="837">
        <f>IF(Indicadores[[#This Row],[Ventas]]=0,0,Indicadores[[#This Row],[EBITDA]]/Indicadores[[#This Row],[Ventas]])</f>
        <v>2.5977140435366468E-2</v>
      </c>
      <c r="P1418" s="837">
        <f>IF(Indicadores[[#This Row],[Ventas]]=0,0,Indicadores[[#This Row],[UAI]]/Indicadores[[#This Row],[Ventas]])</f>
        <v>1.170021650883917E-2</v>
      </c>
      <c r="Q1418" s="837">
        <f>IFERROR(Indicadores[[#This Row],[Ventas]]/Indicadores[[#This Row],[Activos totales]],0)</f>
        <v>1.1703061046811851</v>
      </c>
    </row>
    <row r="1419" spans="1:17" x14ac:dyDescent="0.3">
      <c r="A1419" s="13" t="str">
        <f>MID(Indicadores[[#This Row],[CIIU]],2,4)</f>
        <v>2812</v>
      </c>
      <c r="B1419" s="13" t="str">
        <f>Indicadores[[#This Row],[CIIU]]&amp;Indicadores[[#This Row],[Año]]</f>
        <v>C28122019</v>
      </c>
      <c r="C1419" s="845" t="s">
        <v>2279</v>
      </c>
      <c r="D1419" s="845" t="s">
        <v>2603</v>
      </c>
      <c r="E1419" s="843">
        <v>2019</v>
      </c>
      <c r="F1419" s="844" t="s">
        <v>2607</v>
      </c>
      <c r="G1419" s="842" t="s">
        <v>2608</v>
      </c>
      <c r="H1419" s="843" t="s">
        <v>2609</v>
      </c>
      <c r="I1419" s="842" t="s">
        <v>2608</v>
      </c>
      <c r="J1419" s="840">
        <v>897292</v>
      </c>
      <c r="K1419" s="840">
        <v>1143966</v>
      </c>
      <c r="L1419" s="841">
        <v>28936876</v>
      </c>
      <c r="M1419" s="840">
        <v>20533651</v>
      </c>
      <c r="N1419" s="839">
        <f>Indicadores[[#This Row],[Ventas]]/Indicadores[[#This Row],[Activos totales]]</f>
        <v>0.70960151330779453</v>
      </c>
      <c r="O1419" s="837">
        <f>IF(Indicadores[[#This Row],[Ventas]]=0,0,Indicadores[[#This Row],[EBITDA]]/Indicadores[[#This Row],[Ventas]])</f>
        <v>5.5711767965667673E-2</v>
      </c>
      <c r="P1419" s="837">
        <f>IF(Indicadores[[#This Row],[Ventas]]=0,0,Indicadores[[#This Row],[UAI]]/Indicadores[[#This Row],[Ventas]])</f>
        <v>4.3698609662743366E-2</v>
      </c>
      <c r="Q1419" s="837">
        <f>IFERROR(Indicadores[[#This Row],[Ventas]]/Indicadores[[#This Row],[Activos totales]],0)</f>
        <v>0.70960151330779453</v>
      </c>
    </row>
    <row r="1420" spans="1:17" x14ac:dyDescent="0.3">
      <c r="A1420" s="13" t="str">
        <f>MID(Indicadores[[#This Row],[CIIU]],2,4)</f>
        <v>2813</v>
      </c>
      <c r="B1420" s="13" t="str">
        <f>Indicadores[[#This Row],[CIIU]]&amp;Indicadores[[#This Row],[Año]]</f>
        <v>C28132019</v>
      </c>
      <c r="C1420" s="845" t="s">
        <v>2279</v>
      </c>
      <c r="D1420" s="845" t="s">
        <v>2603</v>
      </c>
      <c r="E1420" s="843">
        <v>2019</v>
      </c>
      <c r="F1420" s="844" t="s">
        <v>2610</v>
      </c>
      <c r="G1420" s="842" t="s">
        <v>2611</v>
      </c>
      <c r="H1420" s="843" t="s">
        <v>2612</v>
      </c>
      <c r="I1420" s="842" t="s">
        <v>2611</v>
      </c>
      <c r="J1420" s="840">
        <v>32151814</v>
      </c>
      <c r="K1420" s="840">
        <v>35607820</v>
      </c>
      <c r="L1420" s="841">
        <v>351461719</v>
      </c>
      <c r="M1420" s="840">
        <v>292820739</v>
      </c>
      <c r="N1420" s="839">
        <f>Indicadores[[#This Row],[Ventas]]/Indicadores[[#This Row],[Activos totales]]</f>
        <v>0.83315116034016778</v>
      </c>
      <c r="O1420" s="837">
        <f>IF(Indicadores[[#This Row],[Ventas]]=0,0,Indicadores[[#This Row],[EBITDA]]/Indicadores[[#This Row],[Ventas]])</f>
        <v>0.12160279398789442</v>
      </c>
      <c r="P1420" s="837">
        <f>IF(Indicadores[[#This Row],[Ventas]]=0,0,Indicadores[[#This Row],[UAI]]/Indicadores[[#This Row],[Ventas]])</f>
        <v>0.1098003307750685</v>
      </c>
      <c r="Q1420" s="837">
        <f>IFERROR(Indicadores[[#This Row],[Ventas]]/Indicadores[[#This Row],[Activos totales]],0)</f>
        <v>0.83315116034016778</v>
      </c>
    </row>
    <row r="1421" spans="1:17" x14ac:dyDescent="0.3">
      <c r="A1421" s="13" t="str">
        <f>MID(Indicadores[[#This Row],[CIIU]],2,4)</f>
        <v>2814</v>
      </c>
      <c r="B1421" s="13" t="str">
        <f>Indicadores[[#This Row],[CIIU]]&amp;Indicadores[[#This Row],[Año]]</f>
        <v>C28142019</v>
      </c>
      <c r="C1421" s="845" t="s">
        <v>2279</v>
      </c>
      <c r="D1421" s="845" t="s">
        <v>2603</v>
      </c>
      <c r="E1421" s="843">
        <v>2019</v>
      </c>
      <c r="F1421" s="844" t="s">
        <v>3555</v>
      </c>
      <c r="G1421" s="842" t="s">
        <v>3556</v>
      </c>
      <c r="H1421" s="843" t="s">
        <v>3557</v>
      </c>
      <c r="I1421" s="842" t="s">
        <v>3556</v>
      </c>
      <c r="J1421" s="840">
        <v>597625</v>
      </c>
      <c r="K1421" s="840">
        <v>597625</v>
      </c>
      <c r="L1421" s="841">
        <v>17482851</v>
      </c>
      <c r="M1421" s="840">
        <v>5909847</v>
      </c>
      <c r="N1421" s="839">
        <f>Indicadores[[#This Row],[Ventas]]/Indicadores[[#This Row],[Activos totales]]</f>
        <v>0.33803679960436661</v>
      </c>
      <c r="O1421" s="837">
        <f>IF(Indicadores[[#This Row],[Ventas]]=0,0,Indicadores[[#This Row],[EBITDA]]/Indicadores[[#This Row],[Ventas]])</f>
        <v>0.10112359930807008</v>
      </c>
      <c r="P1421" s="837">
        <f>IF(Indicadores[[#This Row],[Ventas]]=0,0,Indicadores[[#This Row],[UAI]]/Indicadores[[#This Row],[Ventas]])</f>
        <v>0.10112359930807008</v>
      </c>
      <c r="Q1421" s="837">
        <f>IFERROR(Indicadores[[#This Row],[Ventas]]/Indicadores[[#This Row],[Activos totales]],0)</f>
        <v>0.33803679960436661</v>
      </c>
    </row>
    <row r="1422" spans="1:17" x14ac:dyDescent="0.3">
      <c r="A1422" s="13" t="str">
        <f>MID(Indicadores[[#This Row],[CIIU]],2,4)</f>
        <v>2815</v>
      </c>
      <c r="B1422" s="13" t="str">
        <f>Indicadores[[#This Row],[CIIU]]&amp;Indicadores[[#This Row],[Año]]</f>
        <v>C28152019</v>
      </c>
      <c r="C1422" s="845" t="s">
        <v>2279</v>
      </c>
      <c r="D1422" s="845" t="s">
        <v>2603</v>
      </c>
      <c r="E1422" s="843">
        <v>2019</v>
      </c>
      <c r="F1422" s="844" t="s">
        <v>2613</v>
      </c>
      <c r="G1422" s="842" t="s">
        <v>2614</v>
      </c>
      <c r="H1422" s="843" t="s">
        <v>2615</v>
      </c>
      <c r="I1422" s="842" t="s">
        <v>2614</v>
      </c>
      <c r="J1422" s="840">
        <v>617129</v>
      </c>
      <c r="K1422" s="840">
        <v>773523</v>
      </c>
      <c r="L1422" s="841">
        <v>9987993</v>
      </c>
      <c r="M1422" s="840">
        <v>13755294</v>
      </c>
      <c r="N1422" s="839">
        <f>Indicadores[[#This Row],[Ventas]]/Indicadores[[#This Row],[Activos totales]]</f>
        <v>1.3771829836084186</v>
      </c>
      <c r="O1422" s="837">
        <f>IF(Indicadores[[#This Row],[Ventas]]=0,0,Indicadores[[#This Row],[EBITDA]]/Indicadores[[#This Row],[Ventas]])</f>
        <v>5.6234566851133823E-2</v>
      </c>
      <c r="P1422" s="837">
        <f>IF(Indicadores[[#This Row],[Ventas]]=0,0,Indicadores[[#This Row],[UAI]]/Indicadores[[#This Row],[Ventas]])</f>
        <v>4.4864835313589084E-2</v>
      </c>
      <c r="Q1422" s="837">
        <f>IFERROR(Indicadores[[#This Row],[Ventas]]/Indicadores[[#This Row],[Activos totales]],0)</f>
        <v>1.3771829836084186</v>
      </c>
    </row>
    <row r="1423" spans="1:17" x14ac:dyDescent="0.3">
      <c r="A1423" s="13" t="str">
        <f>MID(Indicadores[[#This Row],[CIIU]],2,4)</f>
        <v>2816</v>
      </c>
      <c r="B1423" s="13" t="str">
        <f>Indicadores[[#This Row],[CIIU]]&amp;Indicadores[[#This Row],[Año]]</f>
        <v>C28162019</v>
      </c>
      <c r="C1423" s="845" t="s">
        <v>2279</v>
      </c>
      <c r="D1423" s="845" t="s">
        <v>2603</v>
      </c>
      <c r="E1423" s="843">
        <v>2019</v>
      </c>
      <c r="F1423" s="844" t="s">
        <v>2616</v>
      </c>
      <c r="G1423" s="842" t="s">
        <v>2617</v>
      </c>
      <c r="H1423" s="843" t="s">
        <v>2618</v>
      </c>
      <c r="I1423" s="842" t="s">
        <v>2617</v>
      </c>
      <c r="J1423" s="840">
        <v>9433720</v>
      </c>
      <c r="K1423" s="840">
        <v>11367106</v>
      </c>
      <c r="L1423" s="841">
        <v>135835775</v>
      </c>
      <c r="M1423" s="840">
        <v>170924654</v>
      </c>
      <c r="N1423" s="839">
        <f>Indicadores[[#This Row],[Ventas]]/Indicadores[[#This Row],[Activos totales]]</f>
        <v>1.2583183921908643</v>
      </c>
      <c r="O1423" s="837">
        <f>IF(Indicadores[[#This Row],[Ventas]]=0,0,Indicadores[[#This Row],[EBITDA]]/Indicadores[[#This Row],[Ventas]])</f>
        <v>6.6503606905063559E-2</v>
      </c>
      <c r="P1423" s="837">
        <f>IF(Indicadores[[#This Row],[Ventas]]=0,0,Indicadores[[#This Row],[UAI]]/Indicadores[[#This Row],[Ventas]])</f>
        <v>5.519227202882037E-2</v>
      </c>
      <c r="Q1423" s="837">
        <f>IFERROR(Indicadores[[#This Row],[Ventas]]/Indicadores[[#This Row],[Activos totales]],0)</f>
        <v>1.2583183921908643</v>
      </c>
    </row>
    <row r="1424" spans="1:17" x14ac:dyDescent="0.3">
      <c r="A1424" s="13" t="str">
        <f>MID(Indicadores[[#This Row],[CIIU]],2,4)</f>
        <v>2817</v>
      </c>
      <c r="B1424" s="13" t="str">
        <f>Indicadores[[#This Row],[CIIU]]&amp;Indicadores[[#This Row],[Año]]</f>
        <v>C28172019</v>
      </c>
      <c r="C1424" s="845" t="s">
        <v>2279</v>
      </c>
      <c r="D1424" s="845" t="s">
        <v>2603</v>
      </c>
      <c r="E1424" s="843">
        <v>2019</v>
      </c>
      <c r="F1424" s="844" t="s">
        <v>3591</v>
      </c>
      <c r="G1424" s="842" t="s">
        <v>3592</v>
      </c>
      <c r="H1424" s="843" t="s">
        <v>3593</v>
      </c>
      <c r="I1424" s="842" t="s">
        <v>3592</v>
      </c>
      <c r="J1424" s="840">
        <v>70026</v>
      </c>
      <c r="K1424" s="840">
        <v>159308</v>
      </c>
      <c r="L1424" s="841">
        <v>2040483</v>
      </c>
      <c r="M1424" s="840">
        <v>1381798</v>
      </c>
      <c r="N1424" s="839">
        <f>Indicadores[[#This Row],[Ventas]]/Indicadores[[#This Row],[Activos totales]]</f>
        <v>0.67719162570822689</v>
      </c>
      <c r="O1424" s="837">
        <f>IF(Indicadores[[#This Row],[Ventas]]=0,0,Indicadores[[#This Row],[EBITDA]]/Indicadores[[#This Row],[Ventas]])</f>
        <v>0.11529036805669135</v>
      </c>
      <c r="P1424" s="837">
        <f>IF(Indicadores[[#This Row],[Ventas]]=0,0,Indicadores[[#This Row],[UAI]]/Indicadores[[#This Row],[Ventas]])</f>
        <v>5.0677450683819195E-2</v>
      </c>
      <c r="Q1424" s="837">
        <f>IFERROR(Indicadores[[#This Row],[Ventas]]/Indicadores[[#This Row],[Activos totales]],0)</f>
        <v>0.67719162570822689</v>
      </c>
    </row>
    <row r="1425" spans="1:17" x14ac:dyDescent="0.3">
      <c r="A1425" s="13" t="str">
        <f>MID(Indicadores[[#This Row],[CIIU]],2,4)</f>
        <v>2819</v>
      </c>
      <c r="B1425" s="13" t="str">
        <f>Indicadores[[#This Row],[CIIU]]&amp;Indicadores[[#This Row],[Año]]</f>
        <v>C28192019</v>
      </c>
      <c r="C1425" s="845" t="s">
        <v>2279</v>
      </c>
      <c r="D1425" s="845" t="s">
        <v>2603</v>
      </c>
      <c r="E1425" s="843">
        <v>2019</v>
      </c>
      <c r="F1425" s="844" t="s">
        <v>2619</v>
      </c>
      <c r="G1425" s="842" t="s">
        <v>2620</v>
      </c>
      <c r="H1425" s="843" t="s">
        <v>2621</v>
      </c>
      <c r="I1425" s="842" t="s">
        <v>2620</v>
      </c>
      <c r="J1425" s="840">
        <v>27758960</v>
      </c>
      <c r="K1425" s="840">
        <v>42207399</v>
      </c>
      <c r="L1425" s="841">
        <v>832031894</v>
      </c>
      <c r="M1425" s="840">
        <v>698827056</v>
      </c>
      <c r="N1425" s="839">
        <f>Indicadores[[#This Row],[Ventas]]/Indicadores[[#This Row],[Activos totales]]</f>
        <v>0.83990416838516047</v>
      </c>
      <c r="O1425" s="837">
        <f>IF(Indicadores[[#This Row],[Ventas]]=0,0,Indicadores[[#This Row],[EBITDA]]/Indicadores[[#This Row],[Ventas]])</f>
        <v>6.0397488388028296E-2</v>
      </c>
      <c r="P1425" s="837">
        <f>IF(Indicadores[[#This Row],[Ventas]]=0,0,Indicadores[[#This Row],[UAI]]/Indicadores[[#This Row],[Ventas]])</f>
        <v>3.9722217051653477E-2</v>
      </c>
      <c r="Q1425" s="837">
        <f>IFERROR(Indicadores[[#This Row],[Ventas]]/Indicadores[[#This Row],[Activos totales]],0)</f>
        <v>0.83990416838516047</v>
      </c>
    </row>
    <row r="1426" spans="1:17" x14ac:dyDescent="0.3">
      <c r="A1426" s="13" t="str">
        <f>MID(Indicadores[[#This Row],[CIIU]],2,4)</f>
        <v>2821</v>
      </c>
      <c r="B1426" s="13" t="str">
        <f>Indicadores[[#This Row],[CIIU]]&amp;Indicadores[[#This Row],[Año]]</f>
        <v>C28212019</v>
      </c>
      <c r="C1426" s="845" t="s">
        <v>2279</v>
      </c>
      <c r="D1426" s="845" t="s">
        <v>2603</v>
      </c>
      <c r="E1426" s="843">
        <v>2019</v>
      </c>
      <c r="F1426" s="844" t="s">
        <v>2622</v>
      </c>
      <c r="G1426" s="842" t="s">
        <v>2623</v>
      </c>
      <c r="H1426" s="843" t="s">
        <v>2624</v>
      </c>
      <c r="I1426" s="842" t="s">
        <v>2623</v>
      </c>
      <c r="J1426" s="840">
        <v>12552294</v>
      </c>
      <c r="K1426" s="840">
        <v>15298162</v>
      </c>
      <c r="L1426" s="841">
        <v>175929624</v>
      </c>
      <c r="M1426" s="840">
        <v>171812102</v>
      </c>
      <c r="N1426" s="839">
        <f>Indicadores[[#This Row],[Ventas]]/Indicadores[[#This Row],[Activos totales]]</f>
        <v>0.97659563007990058</v>
      </c>
      <c r="O1426" s="837">
        <f>IF(Indicadores[[#This Row],[Ventas]]=0,0,Indicadores[[#This Row],[EBITDA]]/Indicadores[[#This Row],[Ventas]])</f>
        <v>8.9040072392572209E-2</v>
      </c>
      <c r="P1426" s="837">
        <f>IF(Indicadores[[#This Row],[Ventas]]=0,0,Indicadores[[#This Row],[UAI]]/Indicadores[[#This Row],[Ventas]])</f>
        <v>7.3058264545299609E-2</v>
      </c>
      <c r="Q1426" s="837">
        <f>IFERROR(Indicadores[[#This Row],[Ventas]]/Indicadores[[#This Row],[Activos totales]],0)</f>
        <v>0.97659563007990058</v>
      </c>
    </row>
    <row r="1427" spans="1:17" x14ac:dyDescent="0.3">
      <c r="A1427" s="13" t="str">
        <f>MID(Indicadores[[#This Row],[CIIU]],2,4)</f>
        <v>2822</v>
      </c>
      <c r="B1427" s="13" t="str">
        <f>Indicadores[[#This Row],[CIIU]]&amp;Indicadores[[#This Row],[Año]]</f>
        <v>C28222019</v>
      </c>
      <c r="C1427" s="845" t="s">
        <v>2279</v>
      </c>
      <c r="D1427" s="845" t="s">
        <v>2603</v>
      </c>
      <c r="E1427" s="843">
        <v>2019</v>
      </c>
      <c r="F1427" s="844" t="s">
        <v>2625</v>
      </c>
      <c r="G1427" s="842" t="s">
        <v>2626</v>
      </c>
      <c r="H1427" s="843" t="s">
        <v>2627</v>
      </c>
      <c r="I1427" s="842" t="s">
        <v>2626</v>
      </c>
      <c r="J1427" s="840">
        <v>-8010024</v>
      </c>
      <c r="K1427" s="840">
        <v>-5632791</v>
      </c>
      <c r="L1427" s="841">
        <v>161715067</v>
      </c>
      <c r="M1427" s="840">
        <v>179063849</v>
      </c>
      <c r="N1427" s="839">
        <f>Indicadores[[#This Row],[Ventas]]/Indicadores[[#This Row],[Activos totales]]</f>
        <v>1.1072799357650454</v>
      </c>
      <c r="O1427" s="837">
        <f>IF(Indicadores[[#This Row],[Ventas]]=0,0,Indicadores[[#This Row],[EBITDA]]/Indicadores[[#This Row],[Ventas]])</f>
        <v>-3.1456885526904989E-2</v>
      </c>
      <c r="P1427" s="837">
        <f>IF(Indicadores[[#This Row],[Ventas]]=0,0,Indicadores[[#This Row],[UAI]]/Indicadores[[#This Row],[Ventas]])</f>
        <v>-4.4732781322041171E-2</v>
      </c>
      <c r="Q1427" s="837">
        <f>IFERROR(Indicadores[[#This Row],[Ventas]]/Indicadores[[#This Row],[Activos totales]],0)</f>
        <v>1.1072799357650454</v>
      </c>
    </row>
    <row r="1428" spans="1:17" x14ac:dyDescent="0.3">
      <c r="A1428" s="13" t="str">
        <f>MID(Indicadores[[#This Row],[CIIU]],2,4)</f>
        <v>2823</v>
      </c>
      <c r="B1428" s="13" t="str">
        <f>Indicadores[[#This Row],[CIIU]]&amp;Indicadores[[#This Row],[Año]]</f>
        <v>C28232019</v>
      </c>
      <c r="C1428" s="845" t="s">
        <v>2279</v>
      </c>
      <c r="D1428" s="845" t="s">
        <v>2603</v>
      </c>
      <c r="E1428" s="843">
        <v>2019</v>
      </c>
      <c r="F1428" s="844" t="s">
        <v>2628</v>
      </c>
      <c r="G1428" s="842" t="s">
        <v>2629</v>
      </c>
      <c r="H1428" s="843" t="s">
        <v>2630</v>
      </c>
      <c r="I1428" s="842" t="s">
        <v>2629</v>
      </c>
      <c r="J1428" s="840">
        <v>3468737</v>
      </c>
      <c r="K1428" s="840">
        <v>4049983</v>
      </c>
      <c r="L1428" s="841">
        <v>27679434</v>
      </c>
      <c r="M1428" s="840">
        <v>21304589</v>
      </c>
      <c r="N1428" s="839">
        <f>Indicadores[[#This Row],[Ventas]]/Indicadores[[#This Row],[Activos totales]]</f>
        <v>0.76969019669983141</v>
      </c>
      <c r="O1428" s="837">
        <f>IF(Indicadores[[#This Row],[Ventas]]=0,0,Indicadores[[#This Row],[EBITDA]]/Indicadores[[#This Row],[Ventas]])</f>
        <v>0.19009909085784288</v>
      </c>
      <c r="P1428" s="837">
        <f>IF(Indicadores[[#This Row],[Ventas]]=0,0,Indicadores[[#This Row],[UAI]]/Indicadores[[#This Row],[Ventas]])</f>
        <v>0.16281642419856115</v>
      </c>
      <c r="Q1428" s="837">
        <f>IFERROR(Indicadores[[#This Row],[Ventas]]/Indicadores[[#This Row],[Activos totales]],0)</f>
        <v>0.76969019669983141</v>
      </c>
    </row>
    <row r="1429" spans="1:17" x14ac:dyDescent="0.3">
      <c r="A1429" s="13" t="str">
        <f>MID(Indicadores[[#This Row],[CIIU]],2,4)</f>
        <v>2824</v>
      </c>
      <c r="B1429" s="13" t="str">
        <f>Indicadores[[#This Row],[CIIU]]&amp;Indicadores[[#This Row],[Año]]</f>
        <v>C28242019</v>
      </c>
      <c r="C1429" s="845" t="s">
        <v>2279</v>
      </c>
      <c r="D1429" s="845" t="s">
        <v>2603</v>
      </c>
      <c r="E1429" s="843">
        <v>2019</v>
      </c>
      <c r="F1429" s="844" t="s">
        <v>2631</v>
      </c>
      <c r="G1429" s="842" t="s">
        <v>2632</v>
      </c>
      <c r="H1429" s="843" t="s">
        <v>2633</v>
      </c>
      <c r="I1429" s="842" t="s">
        <v>2632</v>
      </c>
      <c r="J1429" s="840">
        <v>-1599146</v>
      </c>
      <c r="K1429" s="840">
        <v>2743342</v>
      </c>
      <c r="L1429" s="841">
        <v>106560642</v>
      </c>
      <c r="M1429" s="840">
        <v>112091228</v>
      </c>
      <c r="N1429" s="839">
        <f>Indicadores[[#This Row],[Ventas]]/Indicadores[[#This Row],[Activos totales]]</f>
        <v>1.0519008322040702</v>
      </c>
      <c r="O1429" s="837">
        <f>IF(Indicadores[[#This Row],[Ventas]]=0,0,Indicadores[[#This Row],[EBITDA]]/Indicadores[[#This Row],[Ventas]])</f>
        <v>2.4474189898249666E-2</v>
      </c>
      <c r="P1429" s="837">
        <f>IF(Indicadores[[#This Row],[Ventas]]=0,0,Indicadores[[#This Row],[UAI]]/Indicadores[[#This Row],[Ventas]])</f>
        <v>-1.4266468737410923E-2</v>
      </c>
      <c r="Q1429" s="837">
        <f>IFERROR(Indicadores[[#This Row],[Ventas]]/Indicadores[[#This Row],[Activos totales]],0)</f>
        <v>1.0519008322040702</v>
      </c>
    </row>
    <row r="1430" spans="1:17" x14ac:dyDescent="0.3">
      <c r="A1430" s="13" t="str">
        <f>MID(Indicadores[[#This Row],[CIIU]],2,4)</f>
        <v>2825</v>
      </c>
      <c r="B1430" s="13" t="str">
        <f>Indicadores[[#This Row],[CIIU]]&amp;Indicadores[[#This Row],[Año]]</f>
        <v>C28252019</v>
      </c>
      <c r="C1430" s="845" t="s">
        <v>2279</v>
      </c>
      <c r="D1430" s="845" t="s">
        <v>2603</v>
      </c>
      <c r="E1430" s="843">
        <v>2019</v>
      </c>
      <c r="F1430" s="844" t="s">
        <v>2634</v>
      </c>
      <c r="G1430" s="842" t="s">
        <v>2635</v>
      </c>
      <c r="H1430" s="843" t="s">
        <v>2636</v>
      </c>
      <c r="I1430" s="842" t="s">
        <v>2635</v>
      </c>
      <c r="J1430" s="840">
        <v>8404212</v>
      </c>
      <c r="K1430" s="840">
        <v>10255903</v>
      </c>
      <c r="L1430" s="841">
        <v>115292245</v>
      </c>
      <c r="M1430" s="840">
        <v>89414321</v>
      </c>
      <c r="N1430" s="839">
        <f>Indicadores[[#This Row],[Ventas]]/Indicadores[[#This Row],[Activos totales]]</f>
        <v>0.77554497269092126</v>
      </c>
      <c r="O1430" s="837">
        <f>IF(Indicadores[[#This Row],[Ventas]]=0,0,Indicadores[[#This Row],[EBITDA]]/Indicadores[[#This Row],[Ventas]])</f>
        <v>0.11470089897567974</v>
      </c>
      <c r="P1430" s="837">
        <f>IF(Indicadores[[#This Row],[Ventas]]=0,0,Indicadores[[#This Row],[UAI]]/Indicadores[[#This Row],[Ventas]])</f>
        <v>9.3991789078172391E-2</v>
      </c>
      <c r="Q1430" s="837">
        <f>IFERROR(Indicadores[[#This Row],[Ventas]]/Indicadores[[#This Row],[Activos totales]],0)</f>
        <v>0.77554497269092126</v>
      </c>
    </row>
    <row r="1431" spans="1:17" x14ac:dyDescent="0.3">
      <c r="A1431" s="13" t="str">
        <f>MID(Indicadores[[#This Row],[CIIU]],2,4)</f>
        <v>2826</v>
      </c>
      <c r="B1431" s="13" t="str">
        <f>Indicadores[[#This Row],[CIIU]]&amp;Indicadores[[#This Row],[Año]]</f>
        <v>C28262019</v>
      </c>
      <c r="C1431" s="845" t="s">
        <v>2279</v>
      </c>
      <c r="D1431" s="845" t="s">
        <v>2603</v>
      </c>
      <c r="E1431" s="843">
        <v>2019</v>
      </c>
      <c r="F1431" s="844" t="s">
        <v>3594</v>
      </c>
      <c r="G1431" s="842" t="s">
        <v>3595</v>
      </c>
      <c r="H1431" s="843" t="s">
        <v>3596</v>
      </c>
      <c r="I1431" s="842" t="s">
        <v>3595</v>
      </c>
      <c r="J1431" s="840">
        <v>109116</v>
      </c>
      <c r="K1431" s="840">
        <v>125783</v>
      </c>
      <c r="L1431" s="841">
        <v>1584482</v>
      </c>
      <c r="M1431" s="840">
        <v>614228</v>
      </c>
      <c r="N1431" s="839">
        <f>Indicadores[[#This Row],[Ventas]]/Indicadores[[#This Row],[Activos totales]]</f>
        <v>0.38765224218388089</v>
      </c>
      <c r="O1431" s="837">
        <f>IF(Indicadores[[#This Row],[Ventas]]=0,0,Indicadores[[#This Row],[EBITDA]]/Indicadores[[#This Row],[Ventas]])</f>
        <v>0.20478226326380433</v>
      </c>
      <c r="P1431" s="837">
        <f>IF(Indicadores[[#This Row],[Ventas]]=0,0,Indicadores[[#This Row],[UAI]]/Indicadores[[#This Row],[Ventas]])</f>
        <v>0.1776473882662464</v>
      </c>
      <c r="Q1431" s="837">
        <f>IFERROR(Indicadores[[#This Row],[Ventas]]/Indicadores[[#This Row],[Activos totales]],0)</f>
        <v>0.38765224218388089</v>
      </c>
    </row>
    <row r="1432" spans="1:17" x14ac:dyDescent="0.3">
      <c r="A1432" s="13" t="str">
        <f>MID(Indicadores[[#This Row],[CIIU]],2,4)</f>
        <v>2829</v>
      </c>
      <c r="B1432" s="13" t="str">
        <f>Indicadores[[#This Row],[CIIU]]&amp;Indicadores[[#This Row],[Año]]</f>
        <v>C28292019</v>
      </c>
      <c r="C1432" s="845" t="s">
        <v>2279</v>
      </c>
      <c r="D1432" s="845" t="s">
        <v>2603</v>
      </c>
      <c r="E1432" s="843">
        <v>2019</v>
      </c>
      <c r="F1432" s="844" t="s">
        <v>2637</v>
      </c>
      <c r="G1432" s="842" t="s">
        <v>2638</v>
      </c>
      <c r="H1432" s="843" t="s">
        <v>2639</v>
      </c>
      <c r="I1432" s="842" t="s">
        <v>2638</v>
      </c>
      <c r="J1432" s="840">
        <v>45010524</v>
      </c>
      <c r="K1432" s="840">
        <v>52823810</v>
      </c>
      <c r="L1432" s="841">
        <v>646663541</v>
      </c>
      <c r="M1432" s="840">
        <v>443940793</v>
      </c>
      <c r="N1432" s="839">
        <f>Indicadores[[#This Row],[Ventas]]/Indicadores[[#This Row],[Activos totales]]</f>
        <v>0.68650969917600468</v>
      </c>
      <c r="O1432" s="837">
        <f>IF(Indicadores[[#This Row],[Ventas]]=0,0,Indicadores[[#This Row],[EBITDA]]/Indicadores[[#This Row],[Ventas]])</f>
        <v>0.11898841204259415</v>
      </c>
      <c r="P1432" s="837">
        <f>IF(Indicadores[[#This Row],[Ventas]]=0,0,Indicadores[[#This Row],[UAI]]/Indicadores[[#This Row],[Ventas]])</f>
        <v>0.10138857412907311</v>
      </c>
      <c r="Q1432" s="837">
        <f>IFERROR(Indicadores[[#This Row],[Ventas]]/Indicadores[[#This Row],[Activos totales]],0)</f>
        <v>0.68650969917600468</v>
      </c>
    </row>
    <row r="1433" spans="1:17" x14ac:dyDescent="0.3">
      <c r="A1433" s="13" t="str">
        <f>MID(Indicadores[[#This Row],[CIIU]],2,4)</f>
        <v>2910</v>
      </c>
      <c r="B1433" s="13" t="str">
        <f>Indicadores[[#This Row],[CIIU]]&amp;Indicadores[[#This Row],[Año]]</f>
        <v>C29102019</v>
      </c>
      <c r="C1433" s="845" t="s">
        <v>2279</v>
      </c>
      <c r="D1433" s="845" t="s">
        <v>2640</v>
      </c>
      <c r="E1433" s="843">
        <v>2019</v>
      </c>
      <c r="F1433" s="844" t="s">
        <v>2641</v>
      </c>
      <c r="G1433" s="842" t="s">
        <v>2642</v>
      </c>
      <c r="H1433" s="843" t="s">
        <v>2643</v>
      </c>
      <c r="I1433" s="842" t="s">
        <v>2642</v>
      </c>
      <c r="J1433" s="840">
        <v>261036196</v>
      </c>
      <c r="K1433" s="840">
        <v>317034659</v>
      </c>
      <c r="L1433" s="841">
        <v>2498991433</v>
      </c>
      <c r="M1433" s="840">
        <v>6450875397</v>
      </c>
      <c r="N1433" s="839">
        <f>Indicadores[[#This Row],[Ventas]]/Indicadores[[#This Row],[Activos totales]]</f>
        <v>2.5813915613371372</v>
      </c>
      <c r="O1433" s="837">
        <f>IF(Indicadores[[#This Row],[Ventas]]=0,0,Indicadores[[#This Row],[EBITDA]]/Indicadores[[#This Row],[Ventas]])</f>
        <v>4.914599019342987E-2</v>
      </c>
      <c r="P1433" s="837">
        <f>IF(Indicadores[[#This Row],[Ventas]]=0,0,Indicadores[[#This Row],[UAI]]/Indicadores[[#This Row],[Ventas]])</f>
        <v>4.0465236101350791E-2</v>
      </c>
      <c r="Q1433" s="837">
        <f>IFERROR(Indicadores[[#This Row],[Ventas]]/Indicadores[[#This Row],[Activos totales]],0)</f>
        <v>2.5813915613371372</v>
      </c>
    </row>
    <row r="1434" spans="1:17" x14ac:dyDescent="0.3">
      <c r="A1434" s="13" t="str">
        <f>MID(Indicadores[[#This Row],[CIIU]],2,4)</f>
        <v>2920</v>
      </c>
      <c r="B1434" s="13" t="str">
        <f>Indicadores[[#This Row],[CIIU]]&amp;Indicadores[[#This Row],[Año]]</f>
        <v>C29202019</v>
      </c>
      <c r="C1434" s="845" t="s">
        <v>2279</v>
      </c>
      <c r="D1434" s="845" t="s">
        <v>2640</v>
      </c>
      <c r="E1434" s="843">
        <v>2019</v>
      </c>
      <c r="F1434" s="844" t="s">
        <v>2644</v>
      </c>
      <c r="G1434" s="842" t="s">
        <v>2645</v>
      </c>
      <c r="H1434" s="843" t="s">
        <v>2646</v>
      </c>
      <c r="I1434" s="842" t="s">
        <v>2647</v>
      </c>
      <c r="J1434" s="840">
        <v>90385008</v>
      </c>
      <c r="K1434" s="840">
        <v>108105235</v>
      </c>
      <c r="L1434" s="841">
        <v>843899666</v>
      </c>
      <c r="M1434" s="840">
        <v>899896459</v>
      </c>
      <c r="N1434" s="839">
        <f>Indicadores[[#This Row],[Ventas]]/Indicadores[[#This Row],[Activos totales]]</f>
        <v>1.0663547993393803</v>
      </c>
      <c r="O1434" s="837">
        <f>IF(Indicadores[[#This Row],[Ventas]]=0,0,Indicadores[[#This Row],[EBITDA]]/Indicadores[[#This Row],[Ventas]])</f>
        <v>0.1201307482864537</v>
      </c>
      <c r="P1434" s="837">
        <f>IF(Indicadores[[#This Row],[Ventas]]=0,0,Indicadores[[#This Row],[UAI]]/Indicadores[[#This Row],[Ventas]])</f>
        <v>0.10043934176653983</v>
      </c>
      <c r="Q1434" s="837">
        <f>IFERROR(Indicadores[[#This Row],[Ventas]]/Indicadores[[#This Row],[Activos totales]],0)</f>
        <v>1.0663547993393803</v>
      </c>
    </row>
    <row r="1435" spans="1:17" x14ac:dyDescent="0.3">
      <c r="A1435" s="13" t="str">
        <f>MID(Indicadores[[#This Row],[CIIU]],2,4)</f>
        <v>2930</v>
      </c>
      <c r="B1435" s="13" t="str">
        <f>Indicadores[[#This Row],[CIIU]]&amp;Indicadores[[#This Row],[Año]]</f>
        <v>C29302019</v>
      </c>
      <c r="C1435" s="845" t="s">
        <v>2279</v>
      </c>
      <c r="D1435" s="845" t="s">
        <v>2640</v>
      </c>
      <c r="E1435" s="843">
        <v>2019</v>
      </c>
      <c r="F1435" s="844" t="s">
        <v>2648</v>
      </c>
      <c r="G1435" s="842" t="s">
        <v>2649</v>
      </c>
      <c r="H1435" s="843" t="s">
        <v>2650</v>
      </c>
      <c r="I1435" s="842" t="s">
        <v>2649</v>
      </c>
      <c r="J1435" s="840">
        <v>146572439</v>
      </c>
      <c r="K1435" s="840">
        <v>185684320</v>
      </c>
      <c r="L1435" s="841">
        <v>1844855072</v>
      </c>
      <c r="M1435" s="840">
        <v>1872018854</v>
      </c>
      <c r="N1435" s="839">
        <f>Indicadores[[#This Row],[Ventas]]/Indicadores[[#This Row],[Activos totales]]</f>
        <v>1.0147240736750947</v>
      </c>
      <c r="O1435" s="837">
        <f>IF(Indicadores[[#This Row],[Ventas]]=0,0,Indicadores[[#This Row],[EBITDA]]/Indicadores[[#This Row],[Ventas]])</f>
        <v>9.9189342886821158E-2</v>
      </c>
      <c r="P1435" s="837">
        <f>IF(Indicadores[[#This Row],[Ventas]]=0,0,Indicadores[[#This Row],[UAI]]/Indicadores[[#This Row],[Ventas]])</f>
        <v>7.8296454486456793E-2</v>
      </c>
      <c r="Q1435" s="837">
        <f>IFERROR(Indicadores[[#This Row],[Ventas]]/Indicadores[[#This Row],[Activos totales]],0)</f>
        <v>1.0147240736750947</v>
      </c>
    </row>
    <row r="1436" spans="1:17" x14ac:dyDescent="0.3">
      <c r="A1436" s="13" t="str">
        <f>MID(Indicadores[[#This Row],[CIIU]],2,4)</f>
        <v>3011</v>
      </c>
      <c r="B1436" s="13" t="str">
        <f>Indicadores[[#This Row],[CIIU]]&amp;Indicadores[[#This Row],[Año]]</f>
        <v>C30112019</v>
      </c>
      <c r="C1436" s="845" t="s">
        <v>2279</v>
      </c>
      <c r="D1436" s="845" t="s">
        <v>2651</v>
      </c>
      <c r="E1436" s="843">
        <v>2019</v>
      </c>
      <c r="F1436" s="844" t="s">
        <v>2652</v>
      </c>
      <c r="G1436" s="842" t="s">
        <v>2653</v>
      </c>
      <c r="H1436" s="843" t="s">
        <v>2654</v>
      </c>
      <c r="I1436" s="842" t="s">
        <v>2653</v>
      </c>
      <c r="J1436" s="840">
        <v>2332934</v>
      </c>
      <c r="K1436" s="840">
        <v>5322351</v>
      </c>
      <c r="L1436" s="841">
        <v>103815075</v>
      </c>
      <c r="M1436" s="840">
        <v>46525573</v>
      </c>
      <c r="N1436" s="839">
        <f>Indicadores[[#This Row],[Ventas]]/Indicadores[[#This Row],[Activos totales]]</f>
        <v>0.4481581600745364</v>
      </c>
      <c r="O1436" s="837">
        <f>IF(Indicadores[[#This Row],[Ventas]]=0,0,Indicadores[[#This Row],[EBITDA]]/Indicadores[[#This Row],[Ventas]])</f>
        <v>0.1143962482740406</v>
      </c>
      <c r="P1436" s="837">
        <f>IF(Indicadores[[#This Row],[Ventas]]=0,0,Indicadores[[#This Row],[UAI]]/Indicadores[[#This Row],[Ventas]])</f>
        <v>5.0143047136679005E-2</v>
      </c>
      <c r="Q1436" s="837">
        <f>IFERROR(Indicadores[[#This Row],[Ventas]]/Indicadores[[#This Row],[Activos totales]],0)</f>
        <v>0.4481581600745364</v>
      </c>
    </row>
    <row r="1437" spans="1:17" x14ac:dyDescent="0.3">
      <c r="A1437" s="13" t="str">
        <f>MID(Indicadores[[#This Row],[CIIU]],2,4)</f>
        <v>3012</v>
      </c>
      <c r="B1437" s="13" t="str">
        <f>Indicadores[[#This Row],[CIIU]]&amp;Indicadores[[#This Row],[Año]]</f>
        <v>C30122019</v>
      </c>
      <c r="C1437" s="845" t="s">
        <v>2279</v>
      </c>
      <c r="D1437" s="845" t="s">
        <v>2651</v>
      </c>
      <c r="E1437" s="843">
        <v>2019</v>
      </c>
      <c r="F1437" s="844" t="s">
        <v>2655</v>
      </c>
      <c r="G1437" s="842" t="s">
        <v>2656</v>
      </c>
      <c r="H1437" s="843" t="s">
        <v>2657</v>
      </c>
      <c r="I1437" s="842" t="s">
        <v>2656</v>
      </c>
      <c r="J1437" s="840">
        <v>5387452</v>
      </c>
      <c r="K1437" s="840">
        <v>5718619</v>
      </c>
      <c r="L1437" s="841">
        <v>28835643</v>
      </c>
      <c r="M1437" s="840">
        <v>27279089</v>
      </c>
      <c r="N1437" s="839">
        <f>Indicadores[[#This Row],[Ventas]]/Indicadores[[#This Row],[Activos totales]]</f>
        <v>0.94601979224115096</v>
      </c>
      <c r="O1437" s="837">
        <f>IF(Indicadores[[#This Row],[Ventas]]=0,0,Indicadores[[#This Row],[EBITDA]]/Indicadores[[#This Row],[Ventas]])</f>
        <v>0.20963379678844848</v>
      </c>
      <c r="P1437" s="837">
        <f>IF(Indicadores[[#This Row],[Ventas]]=0,0,Indicadores[[#This Row],[UAI]]/Indicadores[[#This Row],[Ventas]])</f>
        <v>0.19749383859556308</v>
      </c>
      <c r="Q1437" s="837">
        <f>IFERROR(Indicadores[[#This Row],[Ventas]]/Indicadores[[#This Row],[Activos totales]],0)</f>
        <v>0.94601979224115096</v>
      </c>
    </row>
    <row r="1438" spans="1:17" x14ac:dyDescent="0.3">
      <c r="A1438" s="13" t="str">
        <f>MID(Indicadores[[#This Row],[CIIU]],2,4)</f>
        <v>3030</v>
      </c>
      <c r="B1438" s="13" t="str">
        <f>Indicadores[[#This Row],[CIIU]]&amp;Indicadores[[#This Row],[Año]]</f>
        <v>C30302019</v>
      </c>
      <c r="C1438" s="845" t="s">
        <v>2279</v>
      </c>
      <c r="D1438" s="845" t="s">
        <v>2651</v>
      </c>
      <c r="E1438" s="843">
        <v>2019</v>
      </c>
      <c r="F1438" s="844" t="s">
        <v>2658</v>
      </c>
      <c r="G1438" s="842" t="s">
        <v>2659</v>
      </c>
      <c r="H1438" s="843" t="s">
        <v>2660</v>
      </c>
      <c r="I1438" s="842" t="s">
        <v>2659</v>
      </c>
      <c r="J1438" s="840">
        <v>3988222</v>
      </c>
      <c r="K1438" s="840">
        <v>7001182</v>
      </c>
      <c r="L1438" s="841">
        <v>61803761</v>
      </c>
      <c r="M1438" s="840">
        <v>28403845</v>
      </c>
      <c r="N1438" s="839">
        <f>Indicadores[[#This Row],[Ventas]]/Indicadores[[#This Row],[Activos totales]]</f>
        <v>0.45958117338522492</v>
      </c>
      <c r="O1438" s="837">
        <f>IF(Indicadores[[#This Row],[Ventas]]=0,0,Indicadores[[#This Row],[EBITDA]]/Indicadores[[#This Row],[Ventas]])</f>
        <v>0.24648712172594942</v>
      </c>
      <c r="P1438" s="837">
        <f>IF(Indicadores[[#This Row],[Ventas]]=0,0,Indicadores[[#This Row],[UAI]]/Indicadores[[#This Row],[Ventas]])</f>
        <v>0.14041134219680471</v>
      </c>
      <c r="Q1438" s="837">
        <f>IFERROR(Indicadores[[#This Row],[Ventas]]/Indicadores[[#This Row],[Activos totales]],0)</f>
        <v>0.45958117338522492</v>
      </c>
    </row>
    <row r="1439" spans="1:17" x14ac:dyDescent="0.3">
      <c r="A1439" s="13" t="str">
        <f>MID(Indicadores[[#This Row],[CIIU]],2,4)</f>
        <v>3091</v>
      </c>
      <c r="B1439" s="13" t="str">
        <f>Indicadores[[#This Row],[CIIU]]&amp;Indicadores[[#This Row],[Año]]</f>
        <v>C30912019</v>
      </c>
      <c r="C1439" s="845" t="s">
        <v>2279</v>
      </c>
      <c r="D1439" s="845" t="s">
        <v>2651</v>
      </c>
      <c r="E1439" s="843">
        <v>2019</v>
      </c>
      <c r="F1439" s="844" t="s">
        <v>2661</v>
      </c>
      <c r="G1439" s="842" t="s">
        <v>2662</v>
      </c>
      <c r="H1439" s="843" t="s">
        <v>2663</v>
      </c>
      <c r="I1439" s="842" t="s">
        <v>2662</v>
      </c>
      <c r="J1439" s="840">
        <v>173378426</v>
      </c>
      <c r="K1439" s="840">
        <v>214189601</v>
      </c>
      <c r="L1439" s="841">
        <v>2596561330</v>
      </c>
      <c r="M1439" s="840">
        <v>3274629803</v>
      </c>
      <c r="N1439" s="839">
        <f>Indicadores[[#This Row],[Ventas]]/Indicadores[[#This Row],[Activos totales]]</f>
        <v>1.2611409425095306</v>
      </c>
      <c r="O1439" s="837">
        <f>IF(Indicadores[[#This Row],[Ventas]]=0,0,Indicadores[[#This Row],[EBITDA]]/Indicadores[[#This Row],[Ventas]])</f>
        <v>6.5408798516331093E-2</v>
      </c>
      <c r="P1439" s="837">
        <f>IF(Indicadores[[#This Row],[Ventas]]=0,0,Indicadores[[#This Row],[UAI]]/Indicadores[[#This Row],[Ventas]])</f>
        <v>5.2945962270654873E-2</v>
      </c>
      <c r="Q1439" s="837">
        <f>IFERROR(Indicadores[[#This Row],[Ventas]]/Indicadores[[#This Row],[Activos totales]],0)</f>
        <v>1.2611409425095306</v>
      </c>
    </row>
    <row r="1440" spans="1:17" x14ac:dyDescent="0.3">
      <c r="A1440" s="13" t="str">
        <f>MID(Indicadores[[#This Row],[CIIU]],2,4)</f>
        <v>3092</v>
      </c>
      <c r="B1440" s="13" t="str">
        <f>Indicadores[[#This Row],[CIIU]]&amp;Indicadores[[#This Row],[Año]]</f>
        <v>C30922019</v>
      </c>
      <c r="C1440" s="845" t="s">
        <v>2279</v>
      </c>
      <c r="D1440" s="845" t="s">
        <v>2651</v>
      </c>
      <c r="E1440" s="843">
        <v>2019</v>
      </c>
      <c r="F1440" s="844" t="s">
        <v>2664</v>
      </c>
      <c r="G1440" s="842" t="s">
        <v>2665</v>
      </c>
      <c r="H1440" s="843" t="s">
        <v>2666</v>
      </c>
      <c r="I1440" s="842" t="s">
        <v>2665</v>
      </c>
      <c r="J1440" s="840">
        <v>4467869</v>
      </c>
      <c r="K1440" s="840">
        <v>4467869</v>
      </c>
      <c r="L1440" s="841">
        <v>63080414</v>
      </c>
      <c r="M1440" s="840">
        <v>89372823</v>
      </c>
      <c r="N1440" s="839">
        <f>Indicadores[[#This Row],[Ventas]]/Indicadores[[#This Row],[Activos totales]]</f>
        <v>1.4168078066196585</v>
      </c>
      <c r="O1440" s="837">
        <f>IF(Indicadores[[#This Row],[Ventas]]=0,0,Indicadores[[#This Row],[EBITDA]]/Indicadores[[#This Row],[Ventas]])</f>
        <v>4.9991360348995581E-2</v>
      </c>
      <c r="P1440" s="837">
        <f>IF(Indicadores[[#This Row],[Ventas]]=0,0,Indicadores[[#This Row],[UAI]]/Indicadores[[#This Row],[Ventas]])</f>
        <v>4.9991360348995581E-2</v>
      </c>
      <c r="Q1440" s="837">
        <f>IFERROR(Indicadores[[#This Row],[Ventas]]/Indicadores[[#This Row],[Activos totales]],0)</f>
        <v>1.4168078066196585</v>
      </c>
    </row>
    <row r="1441" spans="1:17" x14ac:dyDescent="0.3">
      <c r="A1441" s="13" t="str">
        <f>MID(Indicadores[[#This Row],[CIIU]],2,4)</f>
        <v>3099</v>
      </c>
      <c r="B1441" s="13" t="str">
        <f>Indicadores[[#This Row],[CIIU]]&amp;Indicadores[[#This Row],[Año]]</f>
        <v>C30992019</v>
      </c>
      <c r="C1441" s="845" t="s">
        <v>2279</v>
      </c>
      <c r="D1441" s="845" t="s">
        <v>2651</v>
      </c>
      <c r="E1441" s="843">
        <v>2019</v>
      </c>
      <c r="F1441" s="844" t="s">
        <v>2667</v>
      </c>
      <c r="G1441" s="842" t="s">
        <v>2668</v>
      </c>
      <c r="H1441" s="843" t="s">
        <v>2669</v>
      </c>
      <c r="I1441" s="842" t="s">
        <v>2668</v>
      </c>
      <c r="J1441" s="840">
        <v>-1442026</v>
      </c>
      <c r="K1441" s="840">
        <v>-1134810</v>
      </c>
      <c r="L1441" s="841">
        <v>14451299</v>
      </c>
      <c r="M1441" s="840">
        <v>15893505</v>
      </c>
      <c r="N1441" s="839">
        <f>Indicadores[[#This Row],[Ventas]]/Indicadores[[#This Row],[Activos totales]]</f>
        <v>1.0997976721677407</v>
      </c>
      <c r="O1441" s="837">
        <f>IF(Indicadores[[#This Row],[Ventas]]=0,0,Indicadores[[#This Row],[EBITDA]]/Indicadores[[#This Row],[Ventas]])</f>
        <v>-7.1400864692841515E-2</v>
      </c>
      <c r="P1441" s="837">
        <f>IF(Indicadores[[#This Row],[Ventas]]=0,0,Indicadores[[#This Row],[UAI]]/Indicadores[[#This Row],[Ventas]])</f>
        <v>-9.073052168165549E-2</v>
      </c>
      <c r="Q1441" s="837">
        <f>IFERROR(Indicadores[[#This Row],[Ventas]]/Indicadores[[#This Row],[Activos totales]],0)</f>
        <v>1.0997976721677407</v>
      </c>
    </row>
    <row r="1442" spans="1:17" x14ac:dyDescent="0.3">
      <c r="A1442" s="13" t="str">
        <f>MID(Indicadores[[#This Row],[CIIU]],2,4)</f>
        <v>3110</v>
      </c>
      <c r="B1442" s="13" t="str">
        <f>Indicadores[[#This Row],[CIIU]]&amp;Indicadores[[#This Row],[Año]]</f>
        <v>C31102019</v>
      </c>
      <c r="C1442" s="845" t="s">
        <v>2279</v>
      </c>
      <c r="D1442" s="845" t="s">
        <v>2670</v>
      </c>
      <c r="E1442" s="843">
        <v>2019</v>
      </c>
      <c r="F1442" s="844" t="s">
        <v>2671</v>
      </c>
      <c r="G1442" s="842" t="s">
        <v>2672</v>
      </c>
      <c r="H1442" s="843" t="s">
        <v>2673</v>
      </c>
      <c r="I1442" s="842" t="s">
        <v>2674</v>
      </c>
      <c r="J1442" s="840">
        <v>42414527</v>
      </c>
      <c r="K1442" s="840">
        <v>72316659</v>
      </c>
      <c r="L1442" s="841">
        <v>1609209334</v>
      </c>
      <c r="M1442" s="840">
        <v>1460508599</v>
      </c>
      <c r="N1442" s="839">
        <f>Indicadores[[#This Row],[Ventas]]/Indicadores[[#This Row],[Activos totales]]</f>
        <v>0.90759391468953532</v>
      </c>
      <c r="O1442" s="837">
        <f>IF(Indicadores[[#This Row],[Ventas]]=0,0,Indicadores[[#This Row],[EBITDA]]/Indicadores[[#This Row],[Ventas]])</f>
        <v>4.9514709498810698E-2</v>
      </c>
      <c r="P1442" s="837">
        <f>IF(Indicadores[[#This Row],[Ventas]]=0,0,Indicadores[[#This Row],[UAI]]/Indicadores[[#This Row],[Ventas]])</f>
        <v>2.9040929323552719E-2</v>
      </c>
      <c r="Q1442" s="837">
        <f>IFERROR(Indicadores[[#This Row],[Ventas]]/Indicadores[[#This Row],[Activos totales]],0)</f>
        <v>0.90759391468953532</v>
      </c>
    </row>
    <row r="1443" spans="1:17" x14ac:dyDescent="0.3">
      <c r="A1443" s="13" t="str">
        <f>MID(Indicadores[[#This Row],[CIIU]],2,4)</f>
        <v>3120</v>
      </c>
      <c r="B1443" s="13" t="str">
        <f>Indicadores[[#This Row],[CIIU]]&amp;Indicadores[[#This Row],[Año]]</f>
        <v>C31202019</v>
      </c>
      <c r="C1443" s="845" t="s">
        <v>2279</v>
      </c>
      <c r="D1443" s="845" t="s">
        <v>2670</v>
      </c>
      <c r="E1443" s="843">
        <v>2019</v>
      </c>
      <c r="F1443" s="844" t="s">
        <v>2675</v>
      </c>
      <c r="G1443" s="842" t="s">
        <v>2676</v>
      </c>
      <c r="H1443" s="843" t="s">
        <v>2677</v>
      </c>
      <c r="I1443" s="842" t="s">
        <v>2676</v>
      </c>
      <c r="J1443" s="840">
        <v>25941954</v>
      </c>
      <c r="K1443" s="840">
        <v>36411781</v>
      </c>
      <c r="L1443" s="841">
        <v>470371115</v>
      </c>
      <c r="M1443" s="840">
        <v>506743568</v>
      </c>
      <c r="N1443" s="839">
        <f>Indicadores[[#This Row],[Ventas]]/Indicadores[[#This Row],[Activos totales]]</f>
        <v>1.0773271398691222</v>
      </c>
      <c r="O1443" s="837">
        <f>IF(Indicadores[[#This Row],[Ventas]]=0,0,Indicadores[[#This Row],[EBITDA]]/Indicadores[[#This Row],[Ventas]])</f>
        <v>7.1854451243868578E-2</v>
      </c>
      <c r="P1443" s="837">
        <f>IF(Indicadores[[#This Row],[Ventas]]=0,0,Indicadores[[#This Row],[UAI]]/Indicadores[[#This Row],[Ventas]])</f>
        <v>5.1193454911301409E-2</v>
      </c>
      <c r="Q1443" s="837">
        <f>IFERROR(Indicadores[[#This Row],[Ventas]]/Indicadores[[#This Row],[Activos totales]],0)</f>
        <v>1.0773271398691222</v>
      </c>
    </row>
    <row r="1444" spans="1:17" x14ac:dyDescent="0.3">
      <c r="A1444" s="13" t="str">
        <f>MID(Indicadores[[#This Row],[CIIU]],2,4)</f>
        <v>3210</v>
      </c>
      <c r="B1444" s="13" t="str">
        <f>Indicadores[[#This Row],[CIIU]]&amp;Indicadores[[#This Row],[Año]]</f>
        <v>C32102019</v>
      </c>
      <c r="C1444" s="845" t="s">
        <v>2279</v>
      </c>
      <c r="D1444" s="845" t="s">
        <v>2678</v>
      </c>
      <c r="E1444" s="843">
        <v>2019</v>
      </c>
      <c r="F1444" s="844" t="s">
        <v>2679</v>
      </c>
      <c r="G1444" s="842" t="s">
        <v>2680</v>
      </c>
      <c r="H1444" s="843" t="s">
        <v>2681</v>
      </c>
      <c r="I1444" s="842" t="s">
        <v>2680</v>
      </c>
      <c r="J1444" s="840">
        <v>7125462</v>
      </c>
      <c r="K1444" s="840">
        <v>9862226</v>
      </c>
      <c r="L1444" s="841">
        <v>172300707</v>
      </c>
      <c r="M1444" s="840">
        <v>104542697</v>
      </c>
      <c r="N1444" s="839">
        <f>Indicadores[[#This Row],[Ventas]]/Indicadores[[#This Row],[Activos totales]]</f>
        <v>0.60674560667937361</v>
      </c>
      <c r="O1444" s="837">
        <f>IF(Indicadores[[#This Row],[Ventas]]=0,0,Indicadores[[#This Row],[EBITDA]]/Indicadores[[#This Row],[Ventas]])</f>
        <v>9.4336823929461092E-2</v>
      </c>
      <c r="P1444" s="837">
        <f>IF(Indicadores[[#This Row],[Ventas]]=0,0,Indicadores[[#This Row],[UAI]]/Indicadores[[#This Row],[Ventas]])</f>
        <v>6.8158390824755555E-2</v>
      </c>
      <c r="Q1444" s="837">
        <f>IFERROR(Indicadores[[#This Row],[Ventas]]/Indicadores[[#This Row],[Activos totales]],0)</f>
        <v>0.60674560667937361</v>
      </c>
    </row>
    <row r="1445" spans="1:17" x14ac:dyDescent="0.3">
      <c r="A1445" s="13" t="str">
        <f>MID(Indicadores[[#This Row],[CIIU]],2,4)</f>
        <v>3230</v>
      </c>
      <c r="B1445" s="13" t="str">
        <f>Indicadores[[#This Row],[CIIU]]&amp;Indicadores[[#This Row],[Año]]</f>
        <v>C32302019</v>
      </c>
      <c r="C1445" s="845" t="s">
        <v>2279</v>
      </c>
      <c r="D1445" s="845" t="s">
        <v>2678</v>
      </c>
      <c r="E1445" s="843">
        <v>2019</v>
      </c>
      <c r="F1445" s="844" t="s">
        <v>2682</v>
      </c>
      <c r="G1445" s="842" t="s">
        <v>2683</v>
      </c>
      <c r="H1445" s="843" t="s">
        <v>2684</v>
      </c>
      <c r="I1445" s="842" t="s">
        <v>2683</v>
      </c>
      <c r="J1445" s="840">
        <v>230776</v>
      </c>
      <c r="K1445" s="840">
        <v>438501</v>
      </c>
      <c r="L1445" s="841">
        <v>10163000</v>
      </c>
      <c r="M1445" s="840">
        <v>3859000</v>
      </c>
      <c r="N1445" s="839">
        <f>Indicadores[[#This Row],[Ventas]]/Indicadores[[#This Row],[Activos totales]]</f>
        <v>0.37971071533995865</v>
      </c>
      <c r="O1445" s="837">
        <f>IF(Indicadores[[#This Row],[Ventas]]=0,0,Indicadores[[#This Row],[EBITDA]]/Indicadores[[#This Row],[Ventas]])</f>
        <v>0.11363073335060897</v>
      </c>
      <c r="P1445" s="837">
        <f>IF(Indicadores[[#This Row],[Ventas]]=0,0,Indicadores[[#This Row],[UAI]]/Indicadores[[#This Row],[Ventas]])</f>
        <v>5.9802021249028246E-2</v>
      </c>
      <c r="Q1445" s="837">
        <f>IFERROR(Indicadores[[#This Row],[Ventas]]/Indicadores[[#This Row],[Activos totales]],0)</f>
        <v>0.37971071533995865</v>
      </c>
    </row>
    <row r="1446" spans="1:17" x14ac:dyDescent="0.3">
      <c r="A1446" s="13" t="str">
        <f>MID(Indicadores[[#This Row],[CIIU]],2,4)</f>
        <v>3240</v>
      </c>
      <c r="B1446" s="13" t="str">
        <f>Indicadores[[#This Row],[CIIU]]&amp;Indicadores[[#This Row],[Año]]</f>
        <v>C32402019</v>
      </c>
      <c r="C1446" s="845" t="s">
        <v>2279</v>
      </c>
      <c r="D1446" s="845" t="s">
        <v>2678</v>
      </c>
      <c r="E1446" s="843">
        <v>2019</v>
      </c>
      <c r="F1446" s="844" t="s">
        <v>2685</v>
      </c>
      <c r="G1446" s="842" t="s">
        <v>2686</v>
      </c>
      <c r="H1446" s="843" t="s">
        <v>2687</v>
      </c>
      <c r="I1446" s="842" t="s">
        <v>2686</v>
      </c>
      <c r="J1446" s="840">
        <v>1659534</v>
      </c>
      <c r="K1446" s="840">
        <v>2722624</v>
      </c>
      <c r="L1446" s="841">
        <v>47449253</v>
      </c>
      <c r="M1446" s="840">
        <v>21967124</v>
      </c>
      <c r="N1446" s="839">
        <f>Indicadores[[#This Row],[Ventas]]/Indicadores[[#This Row],[Activos totales]]</f>
        <v>0.46296037579348193</v>
      </c>
      <c r="O1446" s="837">
        <f>IF(Indicadores[[#This Row],[Ventas]]=0,0,Indicadores[[#This Row],[EBITDA]]/Indicadores[[#This Row],[Ventas]])</f>
        <v>0.12394084906153395</v>
      </c>
      <c r="P1446" s="837">
        <f>IF(Indicadores[[#This Row],[Ventas]]=0,0,Indicadores[[#This Row],[UAI]]/Indicadores[[#This Row],[Ventas]])</f>
        <v>7.5546257216010618E-2</v>
      </c>
      <c r="Q1446" s="837">
        <f>IFERROR(Indicadores[[#This Row],[Ventas]]/Indicadores[[#This Row],[Activos totales]],0)</f>
        <v>0.46296037579348193</v>
      </c>
    </row>
    <row r="1447" spans="1:17" x14ac:dyDescent="0.3">
      <c r="A1447" s="13" t="str">
        <f>MID(Indicadores[[#This Row],[CIIU]],2,4)</f>
        <v>3250</v>
      </c>
      <c r="B1447" s="13" t="str">
        <f>Indicadores[[#This Row],[CIIU]]&amp;Indicadores[[#This Row],[Año]]</f>
        <v>C32502019</v>
      </c>
      <c r="C1447" s="845" t="s">
        <v>2279</v>
      </c>
      <c r="D1447" s="845" t="s">
        <v>2678</v>
      </c>
      <c r="E1447" s="843">
        <v>2019</v>
      </c>
      <c r="F1447" s="844" t="s">
        <v>2688</v>
      </c>
      <c r="G1447" s="842" t="s">
        <v>2689</v>
      </c>
      <c r="H1447" s="843" t="s">
        <v>2690</v>
      </c>
      <c r="I1447" s="842" t="s">
        <v>2689</v>
      </c>
      <c r="J1447" s="840">
        <v>24368479</v>
      </c>
      <c r="K1447" s="840">
        <v>41011492</v>
      </c>
      <c r="L1447" s="841">
        <v>548915044</v>
      </c>
      <c r="M1447" s="840">
        <v>403046812</v>
      </c>
      <c r="N1447" s="839">
        <f>Indicadores[[#This Row],[Ventas]]/Indicadores[[#This Row],[Activos totales]]</f>
        <v>0.73426082306463436</v>
      </c>
      <c r="O1447" s="837">
        <f>IF(Indicadores[[#This Row],[Ventas]]=0,0,Indicadores[[#This Row],[EBITDA]]/Indicadores[[#This Row],[Ventas]])</f>
        <v>0.10175366924872241</v>
      </c>
      <c r="P1447" s="837">
        <f>IF(Indicadores[[#This Row],[Ventas]]=0,0,Indicadores[[#This Row],[UAI]]/Indicadores[[#This Row],[Ventas]])</f>
        <v>6.0460666787261426E-2</v>
      </c>
      <c r="Q1447" s="837">
        <f>IFERROR(Indicadores[[#This Row],[Ventas]]/Indicadores[[#This Row],[Activos totales]],0)</f>
        <v>0.73426082306463436</v>
      </c>
    </row>
    <row r="1448" spans="1:17" x14ac:dyDescent="0.3">
      <c r="A1448" s="13" t="str">
        <f>MID(Indicadores[[#This Row],[CIIU]],2,4)</f>
        <v>3290</v>
      </c>
      <c r="B1448" s="13" t="str">
        <f>Indicadores[[#This Row],[CIIU]]&amp;Indicadores[[#This Row],[Año]]</f>
        <v>C32902019</v>
      </c>
      <c r="C1448" s="845" t="s">
        <v>2279</v>
      </c>
      <c r="D1448" s="845" t="s">
        <v>2678</v>
      </c>
      <c r="E1448" s="843">
        <v>2019</v>
      </c>
      <c r="F1448" s="844" t="s">
        <v>2691</v>
      </c>
      <c r="G1448" s="842" t="s">
        <v>2692</v>
      </c>
      <c r="H1448" s="843" t="s">
        <v>2693</v>
      </c>
      <c r="I1448" s="842" t="s">
        <v>2692</v>
      </c>
      <c r="J1448" s="840">
        <v>134860473</v>
      </c>
      <c r="K1448" s="840">
        <v>186719953</v>
      </c>
      <c r="L1448" s="841">
        <v>2510013560</v>
      </c>
      <c r="M1448" s="840">
        <v>2147302339</v>
      </c>
      <c r="N1448" s="839">
        <f>Indicadores[[#This Row],[Ventas]]/Indicadores[[#This Row],[Activos totales]]</f>
        <v>0.85549431812631327</v>
      </c>
      <c r="O1448" s="837">
        <f>IF(Indicadores[[#This Row],[Ventas]]=0,0,Indicadores[[#This Row],[EBITDA]]/Indicadores[[#This Row],[Ventas]])</f>
        <v>8.6955595217651366E-2</v>
      </c>
      <c r="P1448" s="837">
        <f>IF(Indicadores[[#This Row],[Ventas]]=0,0,Indicadores[[#This Row],[UAI]]/Indicadores[[#This Row],[Ventas]])</f>
        <v>6.2804603967788072E-2</v>
      </c>
      <c r="Q1448" s="837">
        <f>IFERROR(Indicadores[[#This Row],[Ventas]]/Indicadores[[#This Row],[Activos totales]],0)</f>
        <v>0.85549431812631327</v>
      </c>
    </row>
    <row r="1449" spans="1:17" x14ac:dyDescent="0.3">
      <c r="A1449" s="13" t="str">
        <f>MID(Indicadores[[#This Row],[CIIU]],2,4)</f>
        <v>3311</v>
      </c>
      <c r="B1449" s="13" t="str">
        <f>Indicadores[[#This Row],[CIIU]]&amp;Indicadores[[#This Row],[Año]]</f>
        <v>C33112019</v>
      </c>
      <c r="C1449" s="845" t="s">
        <v>2279</v>
      </c>
      <c r="D1449" s="845" t="s">
        <v>2694</v>
      </c>
      <c r="E1449" s="843">
        <v>2019</v>
      </c>
      <c r="F1449" s="844" t="s">
        <v>2695</v>
      </c>
      <c r="G1449" s="842" t="s">
        <v>2696</v>
      </c>
      <c r="H1449" s="843" t="s">
        <v>2697</v>
      </c>
      <c r="I1449" s="842" t="s">
        <v>2696</v>
      </c>
      <c r="J1449" s="840">
        <v>10416337</v>
      </c>
      <c r="K1449" s="840">
        <v>11326082</v>
      </c>
      <c r="L1449" s="841">
        <v>103724898</v>
      </c>
      <c r="M1449" s="840">
        <v>151344142</v>
      </c>
      <c r="N1449" s="839">
        <f>Indicadores[[#This Row],[Ventas]]/Indicadores[[#This Row],[Activos totales]]</f>
        <v>1.4590917409241511</v>
      </c>
      <c r="O1449" s="837">
        <f>IF(Indicadores[[#This Row],[Ventas]]=0,0,Indicadores[[#This Row],[EBITDA]]/Indicadores[[#This Row],[Ventas]])</f>
        <v>7.4836606493827826E-2</v>
      </c>
      <c r="P1449" s="837">
        <f>IF(Indicadores[[#This Row],[Ventas]]=0,0,Indicadores[[#This Row],[UAI]]/Indicadores[[#This Row],[Ventas]])</f>
        <v>6.882550498717023E-2</v>
      </c>
      <c r="Q1449" s="837">
        <f>IFERROR(Indicadores[[#This Row],[Ventas]]/Indicadores[[#This Row],[Activos totales]],0)</f>
        <v>1.4590917409241511</v>
      </c>
    </row>
    <row r="1450" spans="1:17" x14ac:dyDescent="0.3">
      <c r="A1450" s="13" t="str">
        <f>MID(Indicadores[[#This Row],[CIIU]],2,4)</f>
        <v>3312</v>
      </c>
      <c r="B1450" s="13" t="str">
        <f>Indicadores[[#This Row],[CIIU]]&amp;Indicadores[[#This Row],[Año]]</f>
        <v>C33122019</v>
      </c>
      <c r="C1450" s="845" t="s">
        <v>2279</v>
      </c>
      <c r="D1450" s="845" t="s">
        <v>2694</v>
      </c>
      <c r="E1450" s="843">
        <v>2019</v>
      </c>
      <c r="F1450" s="844" t="s">
        <v>2698</v>
      </c>
      <c r="G1450" s="842" t="s">
        <v>2699</v>
      </c>
      <c r="H1450" s="843" t="s">
        <v>2700</v>
      </c>
      <c r="I1450" s="842" t="s">
        <v>2699</v>
      </c>
      <c r="J1450" s="840">
        <v>31842925</v>
      </c>
      <c r="K1450" s="840">
        <v>92530951</v>
      </c>
      <c r="L1450" s="841">
        <v>2265169282</v>
      </c>
      <c r="M1450" s="840">
        <v>2631426690</v>
      </c>
      <c r="N1450" s="839">
        <f>Indicadores[[#This Row],[Ventas]]/Indicadores[[#This Row],[Activos totales]]</f>
        <v>1.1616909653995564</v>
      </c>
      <c r="O1450" s="837">
        <f>IF(Indicadores[[#This Row],[Ventas]]=0,0,Indicadores[[#This Row],[EBITDA]]/Indicadores[[#This Row],[Ventas]])</f>
        <v>3.5163795879869258E-2</v>
      </c>
      <c r="P1450" s="837">
        <f>IF(Indicadores[[#This Row],[Ventas]]=0,0,Indicadores[[#This Row],[UAI]]/Indicadores[[#This Row],[Ventas]])</f>
        <v>1.2101011637911144E-2</v>
      </c>
      <c r="Q1450" s="837">
        <f>IFERROR(Indicadores[[#This Row],[Ventas]]/Indicadores[[#This Row],[Activos totales]],0)</f>
        <v>1.1616909653995564</v>
      </c>
    </row>
    <row r="1451" spans="1:17" x14ac:dyDescent="0.3">
      <c r="A1451" s="13" t="str">
        <f>MID(Indicadores[[#This Row],[CIIU]],2,4)</f>
        <v>3313</v>
      </c>
      <c r="B1451" s="13" t="str">
        <f>Indicadores[[#This Row],[CIIU]]&amp;Indicadores[[#This Row],[Año]]</f>
        <v>C33132019</v>
      </c>
      <c r="C1451" s="845" t="s">
        <v>2279</v>
      </c>
      <c r="D1451" s="845" t="s">
        <v>2694</v>
      </c>
      <c r="E1451" s="843">
        <v>2019</v>
      </c>
      <c r="F1451" s="844" t="s">
        <v>2701</v>
      </c>
      <c r="G1451" s="842" t="s">
        <v>2702</v>
      </c>
      <c r="H1451" s="843" t="s">
        <v>2703</v>
      </c>
      <c r="I1451" s="842" t="s">
        <v>2702</v>
      </c>
      <c r="J1451" s="840">
        <v>1216089</v>
      </c>
      <c r="K1451" s="840">
        <v>4219419</v>
      </c>
      <c r="L1451" s="841">
        <v>81468968</v>
      </c>
      <c r="M1451" s="840">
        <v>72410620</v>
      </c>
      <c r="N1451" s="839">
        <f>Indicadores[[#This Row],[Ventas]]/Indicadores[[#This Row],[Activos totales]]</f>
        <v>0.88881228985249938</v>
      </c>
      <c r="O1451" s="837">
        <f>IF(Indicadores[[#This Row],[Ventas]]=0,0,Indicadores[[#This Row],[EBITDA]]/Indicadores[[#This Row],[Ventas]])</f>
        <v>5.8270720510333981E-2</v>
      </c>
      <c r="P1451" s="837">
        <f>IF(Indicadores[[#This Row],[Ventas]]=0,0,Indicadores[[#This Row],[UAI]]/Indicadores[[#This Row],[Ventas]])</f>
        <v>1.6794345912243259E-2</v>
      </c>
      <c r="Q1451" s="837">
        <f>IFERROR(Indicadores[[#This Row],[Ventas]]/Indicadores[[#This Row],[Activos totales]],0)</f>
        <v>0.88881228985249938</v>
      </c>
    </row>
    <row r="1452" spans="1:17" x14ac:dyDescent="0.3">
      <c r="A1452" s="13" t="str">
        <f>MID(Indicadores[[#This Row],[CIIU]],2,4)</f>
        <v>3314</v>
      </c>
      <c r="B1452" s="13" t="str">
        <f>Indicadores[[#This Row],[CIIU]]&amp;Indicadores[[#This Row],[Año]]</f>
        <v>C33142019</v>
      </c>
      <c r="C1452" s="845" t="s">
        <v>2279</v>
      </c>
      <c r="D1452" s="845" t="s">
        <v>2694</v>
      </c>
      <c r="E1452" s="843">
        <v>2019</v>
      </c>
      <c r="F1452" s="844" t="s">
        <v>2704</v>
      </c>
      <c r="G1452" s="842" t="s">
        <v>2705</v>
      </c>
      <c r="H1452" s="843" t="s">
        <v>2706</v>
      </c>
      <c r="I1452" s="842" t="s">
        <v>2705</v>
      </c>
      <c r="J1452" s="840">
        <v>-617261</v>
      </c>
      <c r="K1452" s="840">
        <v>3850056</v>
      </c>
      <c r="L1452" s="841">
        <v>164734596</v>
      </c>
      <c r="M1452" s="840">
        <v>130647680</v>
      </c>
      <c r="N1452" s="839">
        <f>Indicadores[[#This Row],[Ventas]]/Indicadores[[#This Row],[Activos totales]]</f>
        <v>0.79307979727585576</v>
      </c>
      <c r="O1452" s="837">
        <f>IF(Indicadores[[#This Row],[Ventas]]=0,0,Indicadores[[#This Row],[EBITDA]]/Indicadores[[#This Row],[Ventas]])</f>
        <v>2.9468996311300743E-2</v>
      </c>
      <c r="P1452" s="837">
        <f>IF(Indicadores[[#This Row],[Ventas]]=0,0,Indicadores[[#This Row],[UAI]]/Indicadores[[#This Row],[Ventas]])</f>
        <v>-4.7246227411003395E-3</v>
      </c>
      <c r="Q1452" s="837">
        <f>IFERROR(Indicadores[[#This Row],[Ventas]]/Indicadores[[#This Row],[Activos totales]],0)</f>
        <v>0.79307979727585576</v>
      </c>
    </row>
    <row r="1453" spans="1:17" x14ac:dyDescent="0.3">
      <c r="A1453" s="13" t="str">
        <f>MID(Indicadores[[#This Row],[CIIU]],2,4)</f>
        <v>3315</v>
      </c>
      <c r="B1453" s="13" t="str">
        <f>Indicadores[[#This Row],[CIIU]]&amp;Indicadores[[#This Row],[Año]]</f>
        <v>C33152019</v>
      </c>
      <c r="C1453" s="845" t="s">
        <v>2279</v>
      </c>
      <c r="D1453" s="845" t="s">
        <v>2694</v>
      </c>
      <c r="E1453" s="843">
        <v>2019</v>
      </c>
      <c r="F1453" s="844" t="s">
        <v>2707</v>
      </c>
      <c r="G1453" s="842" t="s">
        <v>2708</v>
      </c>
      <c r="H1453" s="843" t="s">
        <v>2709</v>
      </c>
      <c r="I1453" s="842" t="s">
        <v>2708</v>
      </c>
      <c r="J1453" s="840">
        <v>6691652</v>
      </c>
      <c r="K1453" s="840">
        <v>8331953</v>
      </c>
      <c r="L1453" s="841">
        <v>127564795</v>
      </c>
      <c r="M1453" s="840">
        <v>104831638</v>
      </c>
      <c r="N1453" s="839">
        <f>Indicadores[[#This Row],[Ventas]]/Indicadores[[#This Row],[Activos totales]]</f>
        <v>0.82179129437710463</v>
      </c>
      <c r="O1453" s="837">
        <f>IF(Indicadores[[#This Row],[Ventas]]=0,0,Indicadores[[#This Row],[EBITDA]]/Indicadores[[#This Row],[Ventas]])</f>
        <v>7.9479374346893256E-2</v>
      </c>
      <c r="P1453" s="837">
        <f>IF(Indicadores[[#This Row],[Ventas]]=0,0,Indicadores[[#This Row],[UAI]]/Indicadores[[#This Row],[Ventas]])</f>
        <v>6.3832370910774094E-2</v>
      </c>
      <c r="Q1453" s="837">
        <f>IFERROR(Indicadores[[#This Row],[Ventas]]/Indicadores[[#This Row],[Activos totales]],0)</f>
        <v>0.82179129437710463</v>
      </c>
    </row>
    <row r="1454" spans="1:17" x14ac:dyDescent="0.3">
      <c r="A1454" s="13" t="str">
        <f>MID(Indicadores[[#This Row],[CIIU]],2,4)</f>
        <v>3319</v>
      </c>
      <c r="B1454" s="13" t="str">
        <f>Indicadores[[#This Row],[CIIU]]&amp;Indicadores[[#This Row],[Año]]</f>
        <v>C33192019</v>
      </c>
      <c r="C1454" s="845" t="s">
        <v>2279</v>
      </c>
      <c r="D1454" s="845" t="s">
        <v>2694</v>
      </c>
      <c r="E1454" s="843">
        <v>2019</v>
      </c>
      <c r="F1454" s="844" t="s">
        <v>2710</v>
      </c>
      <c r="G1454" s="842" t="s">
        <v>2711</v>
      </c>
      <c r="H1454" s="843" t="s">
        <v>2712</v>
      </c>
      <c r="I1454" s="842" t="s">
        <v>2711</v>
      </c>
      <c r="J1454" s="840">
        <v>5295188</v>
      </c>
      <c r="K1454" s="840">
        <v>5867765</v>
      </c>
      <c r="L1454" s="841">
        <v>22498616</v>
      </c>
      <c r="M1454" s="840">
        <v>29451727</v>
      </c>
      <c r="N1454" s="839">
        <f>Indicadores[[#This Row],[Ventas]]/Indicadores[[#This Row],[Activos totales]]</f>
        <v>1.3090461653285694</v>
      </c>
      <c r="O1454" s="837">
        <f>IF(Indicadores[[#This Row],[Ventas]]=0,0,Indicadores[[#This Row],[EBITDA]]/Indicadores[[#This Row],[Ventas]])</f>
        <v>0.19923330811806045</v>
      </c>
      <c r="P1454" s="837">
        <f>IF(Indicadores[[#This Row],[Ventas]]=0,0,Indicadores[[#This Row],[UAI]]/Indicadores[[#This Row],[Ventas]])</f>
        <v>0.1797921052303656</v>
      </c>
      <c r="Q1454" s="837">
        <f>IFERROR(Indicadores[[#This Row],[Ventas]]/Indicadores[[#This Row],[Activos totales]],0)</f>
        <v>1.3090461653285694</v>
      </c>
    </row>
    <row r="1455" spans="1:17" x14ac:dyDescent="0.3">
      <c r="A1455" s="13" t="str">
        <f>MID(Indicadores[[#This Row],[CIIU]],2,4)</f>
        <v>3320</v>
      </c>
      <c r="B1455" s="13" t="str">
        <f>Indicadores[[#This Row],[CIIU]]&amp;Indicadores[[#This Row],[Año]]</f>
        <v>C33202019</v>
      </c>
      <c r="C1455" s="845" t="s">
        <v>2279</v>
      </c>
      <c r="D1455" s="845" t="s">
        <v>2694</v>
      </c>
      <c r="E1455" s="843">
        <v>2019</v>
      </c>
      <c r="F1455" s="844" t="s">
        <v>2713</v>
      </c>
      <c r="G1455" s="842" t="s">
        <v>2714</v>
      </c>
      <c r="H1455" s="843" t="s">
        <v>2715</v>
      </c>
      <c r="I1455" s="842" t="s">
        <v>2716</v>
      </c>
      <c r="J1455" s="840">
        <v>1645040</v>
      </c>
      <c r="K1455" s="840">
        <v>1766200</v>
      </c>
      <c r="L1455" s="841">
        <v>13937232</v>
      </c>
      <c r="M1455" s="840">
        <v>20791301</v>
      </c>
      <c r="N1455" s="839">
        <f>Indicadores[[#This Row],[Ventas]]/Indicadores[[#This Row],[Activos totales]]</f>
        <v>1.4917812231295282</v>
      </c>
      <c r="O1455" s="837">
        <f>IF(Indicadores[[#This Row],[Ventas]]=0,0,Indicadores[[#This Row],[EBITDA]]/Indicadores[[#This Row],[Ventas]])</f>
        <v>8.4948989002660291E-2</v>
      </c>
      <c r="P1455" s="837">
        <f>IF(Indicadores[[#This Row],[Ventas]]=0,0,Indicadores[[#This Row],[UAI]]/Indicadores[[#This Row],[Ventas]])</f>
        <v>7.9121551845168323E-2</v>
      </c>
      <c r="Q1455" s="837">
        <f>IFERROR(Indicadores[[#This Row],[Ventas]]/Indicadores[[#This Row],[Activos totales]],0)</f>
        <v>1.4917812231295282</v>
      </c>
    </row>
    <row r="1456" spans="1:17" hidden="1" x14ac:dyDescent="0.3">
      <c r="A1456" s="13" t="str">
        <f>MID(Indicadores[[#This Row],[CIIU]],2,4)</f>
        <v>3511</v>
      </c>
      <c r="B1456" s="13" t="str">
        <f>Indicadores[[#This Row],[CIIU]]&amp;Indicadores[[#This Row],[Año]]</f>
        <v>D35112019</v>
      </c>
      <c r="C1456" s="845" t="s">
        <v>2717</v>
      </c>
      <c r="D1456" s="845" t="s">
        <v>2718</v>
      </c>
      <c r="E1456" s="843">
        <v>2019</v>
      </c>
      <c r="F1456" s="844" t="s">
        <v>2719</v>
      </c>
      <c r="G1456" s="842" t="s">
        <v>2720</v>
      </c>
      <c r="H1456" s="843" t="s">
        <v>2721</v>
      </c>
      <c r="I1456" s="842" t="s">
        <v>2720</v>
      </c>
      <c r="J1456" s="840">
        <v>53834383</v>
      </c>
      <c r="K1456" s="840">
        <v>97610420</v>
      </c>
      <c r="L1456" s="841">
        <v>1081481946</v>
      </c>
      <c r="M1456" s="840">
        <v>298689393</v>
      </c>
      <c r="N1456" s="839">
        <f>Indicadores[[#This Row],[Ventas]]/Indicadores[[#This Row],[Activos totales]]</f>
        <v>0.27618527900973394</v>
      </c>
      <c r="O1456" s="837">
        <f>IF(Indicadores[[#This Row],[Ventas]]=0,0,Indicadores[[#This Row],[EBITDA]]/Indicadores[[#This Row],[Ventas]])</f>
        <v>0.32679573593026789</v>
      </c>
      <c r="P1456" s="837">
        <f>IF(Indicadores[[#This Row],[Ventas]]=0,0,Indicadores[[#This Row],[UAI]]/Indicadores[[#This Row],[Ventas]])</f>
        <v>0.18023533564179831</v>
      </c>
      <c r="Q1456" s="837">
        <f>IFERROR(Indicadores[[#This Row],[Ventas]]/Indicadores[[#This Row],[Activos totales]],0)</f>
        <v>0.27618527900973394</v>
      </c>
    </row>
    <row r="1457" spans="1:17" hidden="1" x14ac:dyDescent="0.3">
      <c r="A1457" s="13" t="str">
        <f>MID(Indicadores[[#This Row],[CIIU]],2,4)</f>
        <v>3512</v>
      </c>
      <c r="B1457" s="13" t="str">
        <f>Indicadores[[#This Row],[CIIU]]&amp;Indicadores[[#This Row],[Año]]</f>
        <v>D35122019</v>
      </c>
      <c r="C1457" s="845" t="s">
        <v>2717</v>
      </c>
      <c r="D1457" s="845" t="s">
        <v>2718</v>
      </c>
      <c r="E1457" s="843">
        <v>2019</v>
      </c>
      <c r="F1457" s="844" t="s">
        <v>2722</v>
      </c>
      <c r="G1457" s="842" t="s">
        <v>2723</v>
      </c>
      <c r="H1457" s="843" t="s">
        <v>2724</v>
      </c>
      <c r="I1457" s="842" t="s">
        <v>2723</v>
      </c>
      <c r="J1457" s="840">
        <v>51708817</v>
      </c>
      <c r="K1457" s="840">
        <v>72546229</v>
      </c>
      <c r="L1457" s="841">
        <v>608916049</v>
      </c>
      <c r="M1457" s="840">
        <v>158966736</v>
      </c>
      <c r="N1457" s="839">
        <f>Indicadores[[#This Row],[Ventas]]/Indicadores[[#This Row],[Activos totales]]</f>
        <v>0.26106511112831582</v>
      </c>
      <c r="O1457" s="837">
        <f>IF(Indicadores[[#This Row],[Ventas]]=0,0,Indicadores[[#This Row],[EBITDA]]/Indicadores[[#This Row],[Ventas]])</f>
        <v>0.45636106537407928</v>
      </c>
      <c r="P1457" s="837">
        <f>IF(Indicadores[[#This Row],[Ventas]]=0,0,Indicadores[[#This Row],[UAI]]/Indicadores[[#This Row],[Ventas]])</f>
        <v>0.3252807367196619</v>
      </c>
      <c r="Q1457" s="837">
        <f>IFERROR(Indicadores[[#This Row],[Ventas]]/Indicadores[[#This Row],[Activos totales]],0)</f>
        <v>0.26106511112831582</v>
      </c>
    </row>
    <row r="1458" spans="1:17" hidden="1" x14ac:dyDescent="0.3">
      <c r="A1458" s="13" t="str">
        <f>MID(Indicadores[[#This Row],[CIIU]],2,4)</f>
        <v>3514</v>
      </c>
      <c r="B1458" s="13" t="str">
        <f>Indicadores[[#This Row],[CIIU]]&amp;Indicadores[[#This Row],[Año]]</f>
        <v>D35142019</v>
      </c>
      <c r="C1458" s="845" t="s">
        <v>2717</v>
      </c>
      <c r="D1458" s="845" t="s">
        <v>2718</v>
      </c>
      <c r="E1458" s="843">
        <v>2019</v>
      </c>
      <c r="F1458" s="844" t="s">
        <v>2728</v>
      </c>
      <c r="G1458" s="842" t="s">
        <v>2729</v>
      </c>
      <c r="H1458" s="843" t="s">
        <v>2730</v>
      </c>
      <c r="I1458" s="842" t="s">
        <v>2729</v>
      </c>
      <c r="J1458" s="840">
        <v>22147115</v>
      </c>
      <c r="K1458" s="840">
        <v>22408708</v>
      </c>
      <c r="L1458" s="841">
        <v>204515169</v>
      </c>
      <c r="M1458" s="840">
        <v>19490031</v>
      </c>
      <c r="N1458" s="839">
        <f>Indicadores[[#This Row],[Ventas]]/Indicadores[[#This Row],[Activos totales]]</f>
        <v>9.5298706180566975E-2</v>
      </c>
      <c r="O1458" s="837">
        <f>IF(Indicadores[[#This Row],[Ventas]]=0,0,Indicadores[[#This Row],[EBITDA]]/Indicadores[[#This Row],[Ventas]])</f>
        <v>1.1497523015740714</v>
      </c>
      <c r="P1458" s="837">
        <f>IF(Indicadores[[#This Row],[Ventas]]=0,0,Indicadores[[#This Row],[UAI]]/Indicadores[[#This Row],[Ventas]])</f>
        <v>1.1363304142512651</v>
      </c>
      <c r="Q1458" s="837">
        <f>IFERROR(Indicadores[[#This Row],[Ventas]]/Indicadores[[#This Row],[Activos totales]],0)</f>
        <v>9.5298706180566975E-2</v>
      </c>
    </row>
    <row r="1459" spans="1:17" hidden="1" x14ac:dyDescent="0.3">
      <c r="A1459" s="13" t="str">
        <f>MID(Indicadores[[#This Row],[CIIU]],2,4)</f>
        <v>3520</v>
      </c>
      <c r="B1459" s="13" t="str">
        <f>Indicadores[[#This Row],[CIIU]]&amp;Indicadores[[#This Row],[Año]]</f>
        <v>D35202019</v>
      </c>
      <c r="C1459" s="845" t="s">
        <v>2717</v>
      </c>
      <c r="D1459" s="845" t="s">
        <v>2718</v>
      </c>
      <c r="E1459" s="843">
        <v>2019</v>
      </c>
      <c r="F1459" s="844" t="s">
        <v>2731</v>
      </c>
      <c r="G1459" s="842" t="s">
        <v>2732</v>
      </c>
      <c r="H1459" s="843" t="s">
        <v>2733</v>
      </c>
      <c r="I1459" s="842" t="s">
        <v>2732</v>
      </c>
      <c r="J1459" s="840">
        <v>515479</v>
      </c>
      <c r="K1459" s="840">
        <v>841587</v>
      </c>
      <c r="L1459" s="841">
        <v>56684871</v>
      </c>
      <c r="M1459" s="840">
        <v>42928233</v>
      </c>
      <c r="N1459" s="839">
        <f>Indicadores[[#This Row],[Ventas]]/Indicadores[[#This Row],[Activos totales]]</f>
        <v>0.75731376366720493</v>
      </c>
      <c r="O1459" s="837">
        <f>IF(Indicadores[[#This Row],[Ventas]]=0,0,Indicadores[[#This Row],[EBITDA]]/Indicadores[[#This Row],[Ventas]])</f>
        <v>1.9604510625909059E-2</v>
      </c>
      <c r="P1459" s="837">
        <f>IF(Indicadores[[#This Row],[Ventas]]=0,0,Indicadores[[#This Row],[UAI]]/Indicadores[[#This Row],[Ventas]])</f>
        <v>1.200792494766789E-2</v>
      </c>
      <c r="Q1459" s="837">
        <f>IFERROR(Indicadores[[#This Row],[Ventas]]/Indicadores[[#This Row],[Activos totales]],0)</f>
        <v>0.75731376366720493</v>
      </c>
    </row>
    <row r="1460" spans="1:17" hidden="1" x14ac:dyDescent="0.3">
      <c r="A1460" s="13" t="str">
        <f>MID(Indicadores[[#This Row],[CIIU]],2,4)</f>
        <v>3530</v>
      </c>
      <c r="B1460" s="13" t="str">
        <f>Indicadores[[#This Row],[CIIU]]&amp;Indicadores[[#This Row],[Año]]</f>
        <v>D35302019</v>
      </c>
      <c r="C1460" s="845" t="s">
        <v>2717</v>
      </c>
      <c r="D1460" s="845" t="s">
        <v>2718</v>
      </c>
      <c r="E1460" s="843">
        <v>2019</v>
      </c>
      <c r="F1460" s="844" t="s">
        <v>2734</v>
      </c>
      <c r="G1460" s="842" t="s">
        <v>2735</v>
      </c>
      <c r="H1460" s="843" t="s">
        <v>2736</v>
      </c>
      <c r="I1460" s="842" t="s">
        <v>2735</v>
      </c>
      <c r="J1460" s="840">
        <v>247165</v>
      </c>
      <c r="K1460" s="840">
        <v>1128015</v>
      </c>
      <c r="L1460" s="841">
        <v>29374732</v>
      </c>
      <c r="M1460" s="840">
        <v>12515776</v>
      </c>
      <c r="N1460" s="839">
        <f>Indicadores[[#This Row],[Ventas]]/Indicadores[[#This Row],[Activos totales]]</f>
        <v>0.42607285744768669</v>
      </c>
      <c r="O1460" s="837">
        <f>IF(Indicadores[[#This Row],[Ventas]]=0,0,Indicadores[[#This Row],[EBITDA]]/Indicadores[[#This Row],[Ventas]])</f>
        <v>9.0127451945448689E-2</v>
      </c>
      <c r="P1460" s="837">
        <f>IF(Indicadores[[#This Row],[Ventas]]=0,0,Indicadores[[#This Row],[UAI]]/Indicadores[[#This Row],[Ventas]])</f>
        <v>1.9748276095705133E-2</v>
      </c>
      <c r="Q1460" s="837">
        <f>IFERROR(Indicadores[[#This Row],[Ventas]]/Indicadores[[#This Row],[Activos totales]],0)</f>
        <v>0.42607285744768669</v>
      </c>
    </row>
    <row r="1461" spans="1:17" hidden="1" x14ac:dyDescent="0.3">
      <c r="A1461" s="13" t="str">
        <f>MID(Indicadores[[#This Row],[CIIU]],2,4)</f>
        <v>3600</v>
      </c>
      <c r="B1461" s="13" t="str">
        <f>Indicadores[[#This Row],[CIIU]]&amp;Indicadores[[#This Row],[Año]]</f>
        <v>E36002019</v>
      </c>
      <c r="C1461" s="845" t="s">
        <v>2737</v>
      </c>
      <c r="D1461" s="845" t="s">
        <v>2738</v>
      </c>
      <c r="E1461" s="843">
        <v>2019</v>
      </c>
      <c r="F1461" s="844" t="s">
        <v>2739</v>
      </c>
      <c r="G1461" s="842" t="s">
        <v>2740</v>
      </c>
      <c r="H1461" s="843" t="s">
        <v>2741</v>
      </c>
      <c r="I1461" s="842" t="s">
        <v>2740</v>
      </c>
      <c r="J1461" s="840">
        <v>708350</v>
      </c>
      <c r="K1461" s="840">
        <v>852020</v>
      </c>
      <c r="L1461" s="841">
        <v>19117756</v>
      </c>
      <c r="M1461" s="840">
        <v>14934265</v>
      </c>
      <c r="N1461" s="839">
        <f>Indicadores[[#This Row],[Ventas]]/Indicadores[[#This Row],[Activos totales]]</f>
        <v>0.7811724869801665</v>
      </c>
      <c r="O1461" s="837">
        <f>IF(Indicadores[[#This Row],[Ventas]]=0,0,Indicadores[[#This Row],[EBITDA]]/Indicadores[[#This Row],[Ventas]])</f>
        <v>5.705135137216328E-2</v>
      </c>
      <c r="P1461" s="837">
        <f>IF(Indicadores[[#This Row],[Ventas]]=0,0,Indicadores[[#This Row],[UAI]]/Indicadores[[#This Row],[Ventas]])</f>
        <v>4.7431192629834813E-2</v>
      </c>
      <c r="Q1461" s="837">
        <f>IFERROR(Indicadores[[#This Row],[Ventas]]/Indicadores[[#This Row],[Activos totales]],0)</f>
        <v>0.7811724869801665</v>
      </c>
    </row>
    <row r="1462" spans="1:17" hidden="1" x14ac:dyDescent="0.3">
      <c r="A1462" s="13" t="str">
        <f>MID(Indicadores[[#This Row],[CIIU]],2,4)</f>
        <v>3700</v>
      </c>
      <c r="B1462" s="13" t="str">
        <f>Indicadores[[#This Row],[CIIU]]&amp;Indicadores[[#This Row],[Año]]</f>
        <v>E37002019</v>
      </c>
      <c r="C1462" s="845" t="s">
        <v>2737</v>
      </c>
      <c r="D1462" s="845" t="s">
        <v>2742</v>
      </c>
      <c r="E1462" s="843">
        <v>2019</v>
      </c>
      <c r="F1462" s="844" t="s">
        <v>2743</v>
      </c>
      <c r="G1462" s="842" t="s">
        <v>2744</v>
      </c>
      <c r="H1462" s="843" t="s">
        <v>2745</v>
      </c>
      <c r="I1462" s="842" t="s">
        <v>2744</v>
      </c>
      <c r="J1462" s="840">
        <v>672319</v>
      </c>
      <c r="K1462" s="840">
        <v>1054475</v>
      </c>
      <c r="L1462" s="841">
        <v>28559266</v>
      </c>
      <c r="M1462" s="840">
        <v>15322279</v>
      </c>
      <c r="N1462" s="839">
        <f>Indicadores[[#This Row],[Ventas]]/Indicadores[[#This Row],[Activos totales]]</f>
        <v>0.53650815115486516</v>
      </c>
      <c r="O1462" s="837">
        <f>IF(Indicadores[[#This Row],[Ventas]]=0,0,Indicadores[[#This Row],[EBITDA]]/Indicadores[[#This Row],[Ventas]])</f>
        <v>6.8819723227856636E-2</v>
      </c>
      <c r="P1462" s="837">
        <f>IF(Indicadores[[#This Row],[Ventas]]=0,0,Indicadores[[#This Row],[UAI]]/Indicadores[[#This Row],[Ventas]])</f>
        <v>4.3878524859128333E-2</v>
      </c>
      <c r="Q1462" s="837">
        <f>IFERROR(Indicadores[[#This Row],[Ventas]]/Indicadores[[#This Row],[Activos totales]],0)</f>
        <v>0.53650815115486516</v>
      </c>
    </row>
    <row r="1463" spans="1:17" hidden="1" x14ac:dyDescent="0.3">
      <c r="A1463" s="13" t="str">
        <f>MID(Indicadores[[#This Row],[CIIU]],2,4)</f>
        <v>3811</v>
      </c>
      <c r="B1463" s="13" t="str">
        <f>Indicadores[[#This Row],[CIIU]]&amp;Indicadores[[#This Row],[Año]]</f>
        <v>E38112019</v>
      </c>
      <c r="C1463" s="845" t="s">
        <v>2737</v>
      </c>
      <c r="D1463" s="845" t="s">
        <v>2746</v>
      </c>
      <c r="E1463" s="843">
        <v>2019</v>
      </c>
      <c r="F1463" s="844" t="s">
        <v>2747</v>
      </c>
      <c r="G1463" s="842" t="s">
        <v>2748</v>
      </c>
      <c r="H1463" s="843" t="s">
        <v>2749</v>
      </c>
      <c r="I1463" s="842" t="s">
        <v>2748</v>
      </c>
      <c r="J1463" s="840">
        <v>25250092</v>
      </c>
      <c r="K1463" s="840">
        <v>25345073</v>
      </c>
      <c r="L1463" s="841">
        <v>127430911</v>
      </c>
      <c r="M1463" s="840">
        <v>39069906</v>
      </c>
      <c r="N1463" s="839">
        <f>Indicadores[[#This Row],[Ventas]]/Indicadores[[#This Row],[Activos totales]]</f>
        <v>0.30659677226979881</v>
      </c>
      <c r="O1463" s="837">
        <f>IF(Indicadores[[#This Row],[Ventas]]=0,0,Indicadores[[#This Row],[EBITDA]]/Indicadores[[#This Row],[Ventas]])</f>
        <v>0.64871087736940036</v>
      </c>
      <c r="P1463" s="837">
        <f>IF(Indicadores[[#This Row],[Ventas]]=0,0,Indicadores[[#This Row],[UAI]]/Indicadores[[#This Row],[Ventas]])</f>
        <v>0.6462798246814313</v>
      </c>
      <c r="Q1463" s="837">
        <f>IFERROR(Indicadores[[#This Row],[Ventas]]/Indicadores[[#This Row],[Activos totales]],0)</f>
        <v>0.30659677226979881</v>
      </c>
    </row>
    <row r="1464" spans="1:17" hidden="1" x14ac:dyDescent="0.3">
      <c r="A1464" s="13" t="str">
        <f>MID(Indicadores[[#This Row],[CIIU]],2,4)</f>
        <v>3812</v>
      </c>
      <c r="B1464" s="13" t="str">
        <f>Indicadores[[#This Row],[CIIU]]&amp;Indicadores[[#This Row],[Año]]</f>
        <v>E38122019</v>
      </c>
      <c r="C1464" s="845" t="s">
        <v>2737</v>
      </c>
      <c r="D1464" s="845" t="s">
        <v>2746</v>
      </c>
      <c r="E1464" s="843">
        <v>2019</v>
      </c>
      <c r="F1464" s="844" t="s">
        <v>3597</v>
      </c>
      <c r="G1464" s="842" t="s">
        <v>3598</v>
      </c>
      <c r="H1464" s="843" t="s">
        <v>3599</v>
      </c>
      <c r="I1464" s="842" t="s">
        <v>3598</v>
      </c>
      <c r="J1464" s="840">
        <v>2358822</v>
      </c>
      <c r="K1464" s="840">
        <v>3058736</v>
      </c>
      <c r="L1464" s="841">
        <v>13946111</v>
      </c>
      <c r="M1464" s="840">
        <v>19897312</v>
      </c>
      <c r="N1464" s="839">
        <f>Indicadores[[#This Row],[Ventas]]/Indicadores[[#This Row],[Activos totales]]</f>
        <v>1.4267283545929041</v>
      </c>
      <c r="O1464" s="837">
        <f>IF(Indicadores[[#This Row],[Ventas]]=0,0,Indicadores[[#This Row],[EBITDA]]/Indicadores[[#This Row],[Ventas]])</f>
        <v>0.15372609124287742</v>
      </c>
      <c r="P1464" s="837">
        <f>IF(Indicadores[[#This Row],[Ventas]]=0,0,Indicadores[[#This Row],[UAI]]/Indicadores[[#This Row],[Ventas]])</f>
        <v>0.11854978200070442</v>
      </c>
      <c r="Q1464" s="837">
        <f>IFERROR(Indicadores[[#This Row],[Ventas]]/Indicadores[[#This Row],[Activos totales]],0)</f>
        <v>1.4267283545929041</v>
      </c>
    </row>
    <row r="1465" spans="1:17" hidden="1" x14ac:dyDescent="0.3">
      <c r="A1465" s="13" t="str">
        <f>MID(Indicadores[[#This Row],[CIIU]],2,4)</f>
        <v>3821</v>
      </c>
      <c r="B1465" s="13" t="str">
        <f>Indicadores[[#This Row],[CIIU]]&amp;Indicadores[[#This Row],[Año]]</f>
        <v>E38212019</v>
      </c>
      <c r="C1465" s="845" t="s">
        <v>2737</v>
      </c>
      <c r="D1465" s="845" t="s">
        <v>2746</v>
      </c>
      <c r="E1465" s="843">
        <v>2019</v>
      </c>
      <c r="F1465" s="844" t="s">
        <v>2750</v>
      </c>
      <c r="G1465" s="842" t="s">
        <v>2751</v>
      </c>
      <c r="H1465" s="843" t="s">
        <v>2752</v>
      </c>
      <c r="I1465" s="842" t="s">
        <v>2751</v>
      </c>
      <c r="J1465" s="840">
        <v>3090895</v>
      </c>
      <c r="K1465" s="840">
        <v>3816484</v>
      </c>
      <c r="L1465" s="841">
        <v>53382810</v>
      </c>
      <c r="M1465" s="840">
        <v>10466931</v>
      </c>
      <c r="N1465" s="839">
        <f>Indicadores[[#This Row],[Ventas]]/Indicadores[[#This Row],[Activos totales]]</f>
        <v>0.1960730617215542</v>
      </c>
      <c r="O1465" s="837">
        <f>IF(Indicadores[[#This Row],[Ventas]]=0,0,Indicadores[[#This Row],[EBITDA]]/Indicadores[[#This Row],[Ventas]])</f>
        <v>0.36462302082625747</v>
      </c>
      <c r="P1465" s="837">
        <f>IF(Indicadores[[#This Row],[Ventas]]=0,0,Indicadores[[#This Row],[UAI]]/Indicadores[[#This Row],[Ventas]])</f>
        <v>0.2953009817299837</v>
      </c>
      <c r="Q1465" s="837">
        <f>IFERROR(Indicadores[[#This Row],[Ventas]]/Indicadores[[#This Row],[Activos totales]],0)</f>
        <v>0.1960730617215542</v>
      </c>
    </row>
    <row r="1466" spans="1:17" hidden="1" x14ac:dyDescent="0.3">
      <c r="A1466" s="13" t="str">
        <f>MID(Indicadores[[#This Row],[CIIU]],2,4)</f>
        <v>3822</v>
      </c>
      <c r="B1466" s="13" t="str">
        <f>Indicadores[[#This Row],[CIIU]]&amp;Indicadores[[#This Row],[Año]]</f>
        <v>E38222019</v>
      </c>
      <c r="C1466" s="845" t="s">
        <v>2737</v>
      </c>
      <c r="D1466" s="845" t="s">
        <v>2746</v>
      </c>
      <c r="E1466" s="843">
        <v>2019</v>
      </c>
      <c r="F1466" s="844" t="s">
        <v>2753</v>
      </c>
      <c r="G1466" s="842" t="s">
        <v>2754</v>
      </c>
      <c r="H1466" s="843" t="s">
        <v>2755</v>
      </c>
      <c r="I1466" s="842" t="s">
        <v>2754</v>
      </c>
      <c r="J1466" s="840">
        <v>3336385</v>
      </c>
      <c r="K1466" s="840">
        <v>4260822</v>
      </c>
      <c r="L1466" s="841">
        <v>45634629</v>
      </c>
      <c r="M1466" s="840">
        <v>29797112</v>
      </c>
      <c r="N1466" s="839">
        <f>Indicadores[[#This Row],[Ventas]]/Indicadores[[#This Row],[Activos totales]]</f>
        <v>0.65294958352789501</v>
      </c>
      <c r="O1466" s="837">
        <f>IF(Indicadores[[#This Row],[Ventas]]=0,0,Indicadores[[#This Row],[EBITDA]]/Indicadores[[#This Row],[Ventas]])</f>
        <v>0.14299446201363408</v>
      </c>
      <c r="P1466" s="837">
        <f>IF(Indicadores[[#This Row],[Ventas]]=0,0,Indicadores[[#This Row],[UAI]]/Indicadores[[#This Row],[Ventas]])</f>
        <v>0.11197007951643098</v>
      </c>
      <c r="Q1466" s="837">
        <f>IFERROR(Indicadores[[#This Row],[Ventas]]/Indicadores[[#This Row],[Activos totales]],0)</f>
        <v>0.65294958352789501</v>
      </c>
    </row>
    <row r="1467" spans="1:17" hidden="1" x14ac:dyDescent="0.3">
      <c r="A1467" s="13" t="str">
        <f>MID(Indicadores[[#This Row],[CIIU]],2,4)</f>
        <v>3830</v>
      </c>
      <c r="B1467" s="13" t="str">
        <f>Indicadores[[#This Row],[CIIU]]&amp;Indicadores[[#This Row],[Año]]</f>
        <v>E38302019</v>
      </c>
      <c r="C1467" s="845" t="s">
        <v>2737</v>
      </c>
      <c r="D1467" s="845" t="s">
        <v>2746</v>
      </c>
      <c r="E1467" s="843">
        <v>2019</v>
      </c>
      <c r="F1467" s="844" t="s">
        <v>2756</v>
      </c>
      <c r="G1467" s="842" t="s">
        <v>2757</v>
      </c>
      <c r="H1467" s="843" t="s">
        <v>2758</v>
      </c>
      <c r="I1467" s="842" t="s">
        <v>2757</v>
      </c>
      <c r="J1467" s="840">
        <v>-5133002</v>
      </c>
      <c r="K1467" s="840">
        <v>-6298553</v>
      </c>
      <c r="L1467" s="841">
        <v>70888728</v>
      </c>
      <c r="M1467" s="840">
        <v>13977984</v>
      </c>
      <c r="N1467" s="839">
        <f>Indicadores[[#This Row],[Ventas]]/Indicadores[[#This Row],[Activos totales]]</f>
        <v>0.19718203999936351</v>
      </c>
      <c r="O1467" s="833">
        <f>IF(Indicadores[[#This Row],[Ventas]]=0,0,Indicadores[[#This Row],[EBITDA]]/Indicadores[[#This Row],[Ventas]])</f>
        <v>-0.45060525180169042</v>
      </c>
      <c r="P1467" s="833">
        <f>IF(Indicadores[[#This Row],[Ventas]]=0,0,Indicadores[[#This Row],[UAI]]/Indicadores[[#This Row],[Ventas]])</f>
        <v>-0.36722048043551919</v>
      </c>
      <c r="Q1467" s="833">
        <f>IFERROR(Indicadores[[#This Row],[Ventas]]/Indicadores[[#This Row],[Activos totales]],0)</f>
        <v>0.19718203999936351</v>
      </c>
    </row>
    <row r="1468" spans="1:17" hidden="1" x14ac:dyDescent="0.3">
      <c r="A1468" s="13" t="str">
        <f>MID(Indicadores[[#This Row],[CIIU]],2,4)</f>
        <v>3900</v>
      </c>
      <c r="B1468" s="13" t="str">
        <f>Indicadores[[#This Row],[CIIU]]&amp;Indicadores[[#This Row],[Año]]</f>
        <v>E39002019</v>
      </c>
      <c r="C1468" s="845" t="s">
        <v>2737</v>
      </c>
      <c r="D1468" s="845" t="s">
        <v>2759</v>
      </c>
      <c r="E1468" s="843">
        <v>2019</v>
      </c>
      <c r="F1468" s="844" t="s">
        <v>2760</v>
      </c>
      <c r="G1468" s="842" t="s">
        <v>2761</v>
      </c>
      <c r="H1468" s="843" t="s">
        <v>2762</v>
      </c>
      <c r="I1468" s="842" t="s">
        <v>2761</v>
      </c>
      <c r="J1468" s="840">
        <v>3090049</v>
      </c>
      <c r="K1468" s="840">
        <v>6288754</v>
      </c>
      <c r="L1468" s="841">
        <v>67438016</v>
      </c>
      <c r="M1468" s="840">
        <v>53754543</v>
      </c>
      <c r="N1468" s="839">
        <f>Indicadores[[#This Row],[Ventas]]/Indicadores[[#This Row],[Activos totales]]</f>
        <v>0.79709555808996513</v>
      </c>
      <c r="O1468" s="837">
        <f>IF(Indicadores[[#This Row],[Ventas]]=0,0,Indicadores[[#This Row],[EBITDA]]/Indicadores[[#This Row],[Ventas]])</f>
        <v>0.11699018629923055</v>
      </c>
      <c r="P1468" s="837">
        <f>IF(Indicadores[[#This Row],[Ventas]]=0,0,Indicadores[[#This Row],[UAI]]/Indicadores[[#This Row],[Ventas]])</f>
        <v>5.748442508384826E-2</v>
      </c>
      <c r="Q1468" s="837">
        <f>IFERROR(Indicadores[[#This Row],[Ventas]]/Indicadores[[#This Row],[Activos totales]],0)</f>
        <v>0.79709555808996513</v>
      </c>
    </row>
    <row r="1469" spans="1:17" hidden="1" x14ac:dyDescent="0.3">
      <c r="A1469" s="13" t="str">
        <f>MID(Indicadores[[#This Row],[CIIU]],2,4)</f>
        <v>4111</v>
      </c>
      <c r="B1469" s="13" t="str">
        <f>Indicadores[[#This Row],[CIIU]]&amp;Indicadores[[#This Row],[Año]]</f>
        <v>F41112019</v>
      </c>
      <c r="C1469" s="845" t="s">
        <v>2763</v>
      </c>
      <c r="D1469" s="845" t="s">
        <v>2764</v>
      </c>
      <c r="E1469" s="843">
        <v>2019</v>
      </c>
      <c r="F1469" s="844" t="s">
        <v>2765</v>
      </c>
      <c r="G1469" s="842" t="s">
        <v>2766</v>
      </c>
      <c r="H1469" s="843" t="s">
        <v>2767</v>
      </c>
      <c r="I1469" s="842" t="s">
        <v>2766</v>
      </c>
      <c r="J1469" s="840">
        <v>1930890599</v>
      </c>
      <c r="K1469" s="840">
        <v>2034188040</v>
      </c>
      <c r="L1469" s="841">
        <v>56240599264</v>
      </c>
      <c r="M1469" s="840">
        <v>17952929980</v>
      </c>
      <c r="N1469" s="839">
        <f>Indicadores[[#This Row],[Ventas]]/Indicadores[[#This Row],[Activos totales]]</f>
        <v>0.31921654845331271</v>
      </c>
      <c r="O1469" s="837">
        <f>IF(Indicadores[[#This Row],[Ventas]]=0,0,Indicadores[[#This Row],[EBITDA]]/Indicadores[[#This Row],[Ventas]])</f>
        <v>0.11330674392793459</v>
      </c>
      <c r="P1469" s="837">
        <f>IF(Indicadores[[#This Row],[Ventas]]=0,0,Indicadores[[#This Row],[UAI]]/Indicadores[[#This Row],[Ventas]])</f>
        <v>0.1075529510308935</v>
      </c>
      <c r="Q1469" s="837">
        <f>IFERROR(Indicadores[[#This Row],[Ventas]]/Indicadores[[#This Row],[Activos totales]],0)</f>
        <v>0.31921654845331271</v>
      </c>
    </row>
    <row r="1470" spans="1:17" hidden="1" x14ac:dyDescent="0.3">
      <c r="A1470" s="13" t="str">
        <f>MID(Indicadores[[#This Row],[CIIU]],2,4)</f>
        <v>4112</v>
      </c>
      <c r="B1470" s="13" t="str">
        <f>Indicadores[[#This Row],[CIIU]]&amp;Indicadores[[#This Row],[Año]]</f>
        <v>F41122019</v>
      </c>
      <c r="C1470" s="845" t="s">
        <v>2763</v>
      </c>
      <c r="D1470" s="845" t="s">
        <v>2764</v>
      </c>
      <c r="E1470" s="843">
        <v>2019</v>
      </c>
      <c r="F1470" s="844" t="s">
        <v>2768</v>
      </c>
      <c r="G1470" s="842" t="s">
        <v>2769</v>
      </c>
      <c r="H1470" s="843" t="s">
        <v>2770</v>
      </c>
      <c r="I1470" s="842" t="s">
        <v>2769</v>
      </c>
      <c r="J1470" s="840">
        <v>184791934</v>
      </c>
      <c r="K1470" s="840">
        <v>204248033</v>
      </c>
      <c r="L1470" s="841">
        <v>4557769214</v>
      </c>
      <c r="M1470" s="840">
        <v>1955931661</v>
      </c>
      <c r="N1470" s="839">
        <f>Indicadores[[#This Row],[Ventas]]/Indicadores[[#This Row],[Activos totales]]</f>
        <v>0.42914232142163045</v>
      </c>
      <c r="O1470" s="837">
        <f>IF(Indicadores[[#This Row],[Ventas]]=0,0,Indicadores[[#This Row],[EBITDA]]/Indicadores[[#This Row],[Ventas]])</f>
        <v>0.1044249331776628</v>
      </c>
      <c r="P1470" s="837">
        <f>IF(Indicadores[[#This Row],[Ventas]]=0,0,Indicadores[[#This Row],[UAI]]/Indicadores[[#This Row],[Ventas]])</f>
        <v>9.4477704760667511E-2</v>
      </c>
      <c r="Q1470" s="837">
        <f>IFERROR(Indicadores[[#This Row],[Ventas]]/Indicadores[[#This Row],[Activos totales]],0)</f>
        <v>0.42914232142163045</v>
      </c>
    </row>
    <row r="1471" spans="1:17" hidden="1" x14ac:dyDescent="0.3">
      <c r="A1471" s="13" t="str">
        <f>MID(Indicadores[[#This Row],[CIIU]],2,4)</f>
        <v>4210</v>
      </c>
      <c r="B1471" s="13" t="str">
        <f>Indicadores[[#This Row],[CIIU]]&amp;Indicadores[[#This Row],[Año]]</f>
        <v>F42102019</v>
      </c>
      <c r="C1471" s="845" t="s">
        <v>2763</v>
      </c>
      <c r="D1471" s="845" t="s">
        <v>2771</v>
      </c>
      <c r="E1471" s="843">
        <v>2019</v>
      </c>
      <c r="F1471" s="844" t="s">
        <v>2772</v>
      </c>
      <c r="G1471" s="842" t="s">
        <v>2773</v>
      </c>
      <c r="H1471" s="843" t="s">
        <v>2774</v>
      </c>
      <c r="I1471" s="842" t="s">
        <v>2773</v>
      </c>
      <c r="J1471" s="840">
        <v>1971401848</v>
      </c>
      <c r="K1471" s="840">
        <v>2456747109</v>
      </c>
      <c r="L1471" s="841">
        <v>26866847732</v>
      </c>
      <c r="M1471" s="840">
        <v>12780743127</v>
      </c>
      <c r="N1471" s="839">
        <f>Indicadores[[#This Row],[Ventas]]/Indicadores[[#This Row],[Activos totales]]</f>
        <v>0.47570683596711577</v>
      </c>
      <c r="O1471" s="837">
        <f>IF(Indicadores[[#This Row],[Ventas]]=0,0,Indicadores[[#This Row],[EBITDA]]/Indicadores[[#This Row],[Ventas]])</f>
        <v>0.19222255580819797</v>
      </c>
      <c r="P1471" s="837">
        <f>IF(Indicadores[[#This Row],[Ventas]]=0,0,Indicadores[[#This Row],[UAI]]/Indicadores[[#This Row],[Ventas]])</f>
        <v>0.1542478264691283</v>
      </c>
      <c r="Q1471" s="837">
        <f>IFERROR(Indicadores[[#This Row],[Ventas]]/Indicadores[[#This Row],[Activos totales]],0)</f>
        <v>0.47570683596711577</v>
      </c>
    </row>
    <row r="1472" spans="1:17" hidden="1" x14ac:dyDescent="0.3">
      <c r="A1472" s="13" t="str">
        <f>MID(Indicadores[[#This Row],[CIIU]],2,4)</f>
        <v>4220</v>
      </c>
      <c r="B1472" s="13" t="str">
        <f>Indicadores[[#This Row],[CIIU]]&amp;Indicadores[[#This Row],[Año]]</f>
        <v>F42202019</v>
      </c>
      <c r="C1472" s="845" t="s">
        <v>2763</v>
      </c>
      <c r="D1472" s="845" t="s">
        <v>2771</v>
      </c>
      <c r="E1472" s="843">
        <v>2019</v>
      </c>
      <c r="F1472" s="844" t="s">
        <v>2775</v>
      </c>
      <c r="G1472" s="842" t="s">
        <v>2776</v>
      </c>
      <c r="H1472" s="843" t="s">
        <v>2777</v>
      </c>
      <c r="I1472" s="842" t="s">
        <v>2776</v>
      </c>
      <c r="J1472" s="840">
        <v>189501239</v>
      </c>
      <c r="K1472" s="840">
        <v>209265778</v>
      </c>
      <c r="L1472" s="841">
        <v>2341210135</v>
      </c>
      <c r="M1472" s="840">
        <v>1700097468</v>
      </c>
      <c r="N1472" s="839">
        <f>Indicadores[[#This Row],[Ventas]]/Indicadores[[#This Row],[Activos totales]]</f>
        <v>0.72616184364843439</v>
      </c>
      <c r="O1472" s="837">
        <f>IF(Indicadores[[#This Row],[Ventas]]=0,0,Indicadores[[#This Row],[EBITDA]]/Indicadores[[#This Row],[Ventas]])</f>
        <v>0.12309045918771994</v>
      </c>
      <c r="P1472" s="837">
        <f>IF(Indicadores[[#This Row],[Ventas]]=0,0,Indicadores[[#This Row],[UAI]]/Indicadores[[#This Row],[Ventas]])</f>
        <v>0.11146492631562463</v>
      </c>
      <c r="Q1472" s="837">
        <f>IFERROR(Indicadores[[#This Row],[Ventas]]/Indicadores[[#This Row],[Activos totales]],0)</f>
        <v>0.72616184364843439</v>
      </c>
    </row>
    <row r="1473" spans="1:17" hidden="1" x14ac:dyDescent="0.3">
      <c r="A1473" s="13" t="str">
        <f>MID(Indicadores[[#This Row],[CIIU]],2,4)</f>
        <v>4290</v>
      </c>
      <c r="B1473" s="13" t="str">
        <f>Indicadores[[#This Row],[CIIU]]&amp;Indicadores[[#This Row],[Año]]</f>
        <v>F42902019</v>
      </c>
      <c r="C1473" s="845" t="s">
        <v>2763</v>
      </c>
      <c r="D1473" s="845" t="s">
        <v>2771</v>
      </c>
      <c r="E1473" s="843">
        <v>2019</v>
      </c>
      <c r="F1473" s="844" t="s">
        <v>2778</v>
      </c>
      <c r="G1473" s="842" t="s">
        <v>2779</v>
      </c>
      <c r="H1473" s="843" t="s">
        <v>2780</v>
      </c>
      <c r="I1473" s="842" t="s">
        <v>2779</v>
      </c>
      <c r="J1473" s="840">
        <v>944612829</v>
      </c>
      <c r="K1473" s="840">
        <v>1253560638</v>
      </c>
      <c r="L1473" s="841">
        <v>25122616149</v>
      </c>
      <c r="M1473" s="840">
        <v>14630800920</v>
      </c>
      <c r="N1473" s="839">
        <f>Indicadores[[#This Row],[Ventas]]/Indicadores[[#This Row],[Activos totales]]</f>
        <v>0.58237569022374192</v>
      </c>
      <c r="O1473" s="837">
        <f>IF(Indicadores[[#This Row],[Ventas]]=0,0,Indicadores[[#This Row],[EBITDA]]/Indicadores[[#This Row],[Ventas]])</f>
        <v>8.5679563603822173E-2</v>
      </c>
      <c r="P1473" s="837">
        <f>IF(Indicadores[[#This Row],[Ventas]]=0,0,Indicadores[[#This Row],[UAI]]/Indicadores[[#This Row],[Ventas]])</f>
        <v>6.4563302731344932E-2</v>
      </c>
      <c r="Q1473" s="837">
        <f>IFERROR(Indicadores[[#This Row],[Ventas]]/Indicadores[[#This Row],[Activos totales]],0)</f>
        <v>0.58237569022374192</v>
      </c>
    </row>
    <row r="1474" spans="1:17" hidden="1" x14ac:dyDescent="0.3">
      <c r="A1474" s="13" t="str">
        <f>MID(Indicadores[[#This Row],[CIIU]],2,4)</f>
        <v>4311</v>
      </c>
      <c r="B1474" s="13" t="str">
        <f>Indicadores[[#This Row],[CIIU]]&amp;Indicadores[[#This Row],[Año]]</f>
        <v>F43112019</v>
      </c>
      <c r="C1474" s="845" t="s">
        <v>2763</v>
      </c>
      <c r="D1474" s="845" t="s">
        <v>2781</v>
      </c>
      <c r="E1474" s="843">
        <v>2019</v>
      </c>
      <c r="F1474" s="844" t="s">
        <v>2782</v>
      </c>
      <c r="G1474" s="842" t="s">
        <v>2783</v>
      </c>
      <c r="H1474" s="843" t="s">
        <v>2784</v>
      </c>
      <c r="I1474" s="842" t="s">
        <v>2783</v>
      </c>
      <c r="J1474" s="840">
        <v>14199811</v>
      </c>
      <c r="K1474" s="840">
        <v>15382605</v>
      </c>
      <c r="L1474" s="841">
        <v>142558049</v>
      </c>
      <c r="M1474" s="840">
        <v>59454869</v>
      </c>
      <c r="N1474" s="839">
        <f>Indicadores[[#This Row],[Ventas]]/Indicadores[[#This Row],[Activos totales]]</f>
        <v>0.41705725784729281</v>
      </c>
      <c r="O1474" s="837">
        <f>IF(Indicadores[[#This Row],[Ventas]]=0,0,Indicadores[[#This Row],[EBITDA]]/Indicadores[[#This Row],[Ventas]])</f>
        <v>0.25872742230749846</v>
      </c>
      <c r="P1474" s="837">
        <f>IF(Indicadores[[#This Row],[Ventas]]=0,0,Indicadores[[#This Row],[UAI]]/Indicadores[[#This Row],[Ventas]])</f>
        <v>0.23883344188345618</v>
      </c>
      <c r="Q1474" s="837">
        <f>IFERROR(Indicadores[[#This Row],[Ventas]]/Indicadores[[#This Row],[Activos totales]],0)</f>
        <v>0.41705725784729281</v>
      </c>
    </row>
    <row r="1475" spans="1:17" hidden="1" x14ac:dyDescent="0.3">
      <c r="A1475" s="13" t="str">
        <f>MID(Indicadores[[#This Row],[CIIU]],2,4)</f>
        <v>4312</v>
      </c>
      <c r="B1475" s="13" t="str">
        <f>Indicadores[[#This Row],[CIIU]]&amp;Indicadores[[#This Row],[Año]]</f>
        <v>F43122019</v>
      </c>
      <c r="C1475" s="845" t="s">
        <v>2763</v>
      </c>
      <c r="D1475" s="845" t="s">
        <v>2781</v>
      </c>
      <c r="E1475" s="843">
        <v>2019</v>
      </c>
      <c r="F1475" s="844" t="s">
        <v>2785</v>
      </c>
      <c r="G1475" s="842" t="s">
        <v>2786</v>
      </c>
      <c r="H1475" s="843" t="s">
        <v>2787</v>
      </c>
      <c r="I1475" s="842" t="s">
        <v>2786</v>
      </c>
      <c r="J1475" s="840">
        <v>24001668</v>
      </c>
      <c r="K1475" s="840">
        <v>36814746</v>
      </c>
      <c r="L1475" s="841">
        <v>829598672</v>
      </c>
      <c r="M1475" s="840">
        <v>393546441</v>
      </c>
      <c r="N1475" s="839">
        <f>Indicadores[[#This Row],[Ventas]]/Indicadores[[#This Row],[Activos totales]]</f>
        <v>0.47438171525906203</v>
      </c>
      <c r="O1475" s="837">
        <f>IF(Indicadores[[#This Row],[Ventas]]=0,0,Indicadores[[#This Row],[EBITDA]]/Indicadores[[#This Row],[Ventas]])</f>
        <v>9.3546128651179949E-2</v>
      </c>
      <c r="P1475" s="837">
        <f>IF(Indicadores[[#This Row],[Ventas]]=0,0,Indicadores[[#This Row],[UAI]]/Indicadores[[#This Row],[Ventas]])</f>
        <v>6.0988146504417251E-2</v>
      </c>
      <c r="Q1475" s="837">
        <f>IFERROR(Indicadores[[#This Row],[Ventas]]/Indicadores[[#This Row],[Activos totales]],0)</f>
        <v>0.47438171525906203</v>
      </c>
    </row>
    <row r="1476" spans="1:17" hidden="1" x14ac:dyDescent="0.3">
      <c r="A1476" s="13" t="str">
        <f>MID(Indicadores[[#This Row],[CIIU]],2,4)</f>
        <v>4321</v>
      </c>
      <c r="B1476" s="13" t="str">
        <f>Indicadores[[#This Row],[CIIU]]&amp;Indicadores[[#This Row],[Año]]</f>
        <v>F43212019</v>
      </c>
      <c r="C1476" s="845" t="s">
        <v>2763</v>
      </c>
      <c r="D1476" s="845" t="s">
        <v>2781</v>
      </c>
      <c r="E1476" s="843">
        <v>2019</v>
      </c>
      <c r="F1476" s="844" t="s">
        <v>2788</v>
      </c>
      <c r="G1476" s="842" t="s">
        <v>2789</v>
      </c>
      <c r="H1476" s="843" t="s">
        <v>2790</v>
      </c>
      <c r="I1476" s="842" t="s">
        <v>2789</v>
      </c>
      <c r="J1476" s="840">
        <v>131334555</v>
      </c>
      <c r="K1476" s="840">
        <v>153148192</v>
      </c>
      <c r="L1476" s="841">
        <v>1898597962</v>
      </c>
      <c r="M1476" s="840">
        <v>2250746773</v>
      </c>
      <c r="N1476" s="839">
        <f>Indicadores[[#This Row],[Ventas]]/Indicadores[[#This Row],[Activos totales]]</f>
        <v>1.1854783466790637</v>
      </c>
      <c r="O1476" s="837">
        <f>IF(Indicadores[[#This Row],[Ventas]]=0,0,Indicadores[[#This Row],[EBITDA]]/Indicadores[[#This Row],[Ventas]])</f>
        <v>6.804327960709243E-2</v>
      </c>
      <c r="P1476" s="837">
        <f>IF(Indicadores[[#This Row],[Ventas]]=0,0,Indicadores[[#This Row],[UAI]]/Indicadores[[#This Row],[Ventas]])</f>
        <v>5.8351546506915729E-2</v>
      </c>
      <c r="Q1476" s="837">
        <f>IFERROR(Indicadores[[#This Row],[Ventas]]/Indicadores[[#This Row],[Activos totales]],0)</f>
        <v>1.1854783466790637</v>
      </c>
    </row>
    <row r="1477" spans="1:17" hidden="1" x14ac:dyDescent="0.3">
      <c r="A1477" s="13" t="str">
        <f>MID(Indicadores[[#This Row],[CIIU]],2,4)</f>
        <v>4322</v>
      </c>
      <c r="B1477" s="13" t="str">
        <f>Indicadores[[#This Row],[CIIU]]&amp;Indicadores[[#This Row],[Año]]</f>
        <v>F43222019</v>
      </c>
      <c r="C1477" s="845" t="s">
        <v>2763</v>
      </c>
      <c r="D1477" s="845" t="s">
        <v>2781</v>
      </c>
      <c r="E1477" s="843">
        <v>2019</v>
      </c>
      <c r="F1477" s="844" t="s">
        <v>2791</v>
      </c>
      <c r="G1477" s="842" t="s">
        <v>2792</v>
      </c>
      <c r="H1477" s="843" t="s">
        <v>2793</v>
      </c>
      <c r="I1477" s="842" t="s">
        <v>2792</v>
      </c>
      <c r="J1477" s="840">
        <v>30716298</v>
      </c>
      <c r="K1477" s="840">
        <v>32620140</v>
      </c>
      <c r="L1477" s="841">
        <v>323438771</v>
      </c>
      <c r="M1477" s="840">
        <v>390622569</v>
      </c>
      <c r="N1477" s="839">
        <f>Indicadores[[#This Row],[Ventas]]/Indicadores[[#This Row],[Activos totales]]</f>
        <v>1.2077172065435531</v>
      </c>
      <c r="O1477" s="837">
        <f>IF(Indicadores[[#This Row],[Ventas]]=0,0,Indicadores[[#This Row],[EBITDA]]/Indicadores[[#This Row],[Ventas]])</f>
        <v>8.3508078100832925E-2</v>
      </c>
      <c r="P1477" s="837">
        <f>IF(Indicadores[[#This Row],[Ventas]]=0,0,Indicadores[[#This Row],[UAI]]/Indicadores[[#This Row],[Ventas]])</f>
        <v>7.863421224901114E-2</v>
      </c>
      <c r="Q1477" s="837">
        <f>IFERROR(Indicadores[[#This Row],[Ventas]]/Indicadores[[#This Row],[Activos totales]],0)</f>
        <v>1.2077172065435531</v>
      </c>
    </row>
    <row r="1478" spans="1:17" hidden="1" x14ac:dyDescent="0.3">
      <c r="A1478" s="13" t="str">
        <f>MID(Indicadores[[#This Row],[CIIU]],2,4)</f>
        <v>4329</v>
      </c>
      <c r="B1478" s="13" t="str">
        <f>Indicadores[[#This Row],[CIIU]]&amp;Indicadores[[#This Row],[Año]]</f>
        <v>F43292019</v>
      </c>
      <c r="C1478" s="845" t="s">
        <v>2763</v>
      </c>
      <c r="D1478" s="845" t="s">
        <v>2781</v>
      </c>
      <c r="E1478" s="843">
        <v>2019</v>
      </c>
      <c r="F1478" s="844" t="s">
        <v>2794</v>
      </c>
      <c r="G1478" s="842" t="s">
        <v>2795</v>
      </c>
      <c r="H1478" s="843" t="s">
        <v>2796</v>
      </c>
      <c r="I1478" s="842" t="s">
        <v>2795</v>
      </c>
      <c r="J1478" s="840">
        <v>14666210</v>
      </c>
      <c r="K1478" s="840">
        <v>22963582</v>
      </c>
      <c r="L1478" s="841">
        <v>275994938</v>
      </c>
      <c r="M1478" s="840">
        <v>406178049</v>
      </c>
      <c r="N1478" s="839">
        <f>Indicadores[[#This Row],[Ventas]]/Indicadores[[#This Row],[Activos totales]]</f>
        <v>1.4716865894112885</v>
      </c>
      <c r="O1478" s="837">
        <f>IF(Indicadores[[#This Row],[Ventas]]=0,0,Indicadores[[#This Row],[EBITDA]]/Indicadores[[#This Row],[Ventas]])</f>
        <v>5.6535753363668353E-2</v>
      </c>
      <c r="P1478" s="837">
        <f>IF(Indicadores[[#This Row],[Ventas]]=0,0,Indicadores[[#This Row],[UAI]]/Indicadores[[#This Row],[Ventas]])</f>
        <v>3.6107835064223277E-2</v>
      </c>
      <c r="Q1478" s="837">
        <f>IFERROR(Indicadores[[#This Row],[Ventas]]/Indicadores[[#This Row],[Activos totales]],0)</f>
        <v>1.4716865894112885</v>
      </c>
    </row>
    <row r="1479" spans="1:17" hidden="1" x14ac:dyDescent="0.3">
      <c r="A1479" s="13" t="str">
        <f>MID(Indicadores[[#This Row],[CIIU]],2,4)</f>
        <v>4330</v>
      </c>
      <c r="B1479" s="13" t="str">
        <f>Indicadores[[#This Row],[CIIU]]&amp;Indicadores[[#This Row],[Año]]</f>
        <v>F43302019</v>
      </c>
      <c r="C1479" s="845" t="s">
        <v>2763</v>
      </c>
      <c r="D1479" s="845" t="s">
        <v>2781</v>
      </c>
      <c r="E1479" s="843">
        <v>2019</v>
      </c>
      <c r="F1479" s="844" t="s">
        <v>2797</v>
      </c>
      <c r="G1479" s="842" t="s">
        <v>2798</v>
      </c>
      <c r="H1479" s="843" t="s">
        <v>2799</v>
      </c>
      <c r="I1479" s="842" t="s">
        <v>2798</v>
      </c>
      <c r="J1479" s="840">
        <v>50318026</v>
      </c>
      <c r="K1479" s="840">
        <v>53308089</v>
      </c>
      <c r="L1479" s="841">
        <v>490466171</v>
      </c>
      <c r="M1479" s="840">
        <v>414283913</v>
      </c>
      <c r="N1479" s="839">
        <f>Indicadores[[#This Row],[Ventas]]/Indicadores[[#This Row],[Activos totales]]</f>
        <v>0.84467377669560006</v>
      </c>
      <c r="O1479" s="837">
        <f>IF(Indicadores[[#This Row],[Ventas]]=0,0,Indicadores[[#This Row],[EBITDA]]/Indicadores[[#This Row],[Ventas]])</f>
        <v>0.12867525705735042</v>
      </c>
      <c r="P1479" s="837">
        <f>IF(Indicadores[[#This Row],[Ventas]]=0,0,Indicadores[[#This Row],[UAI]]/Indicadores[[#This Row],[Ventas]])</f>
        <v>0.12145783222820916</v>
      </c>
      <c r="Q1479" s="837">
        <f>IFERROR(Indicadores[[#This Row],[Ventas]]/Indicadores[[#This Row],[Activos totales]],0)</f>
        <v>0.84467377669560006</v>
      </c>
    </row>
    <row r="1480" spans="1:17" hidden="1" x14ac:dyDescent="0.3">
      <c r="A1480" s="13" t="str">
        <f>MID(Indicadores[[#This Row],[CIIU]],2,4)</f>
        <v>4390</v>
      </c>
      <c r="B1480" s="13" t="str">
        <f>Indicadores[[#This Row],[CIIU]]&amp;Indicadores[[#This Row],[Año]]</f>
        <v>F43902019</v>
      </c>
      <c r="C1480" s="845" t="s">
        <v>2763</v>
      </c>
      <c r="D1480" s="845" t="s">
        <v>2781</v>
      </c>
      <c r="E1480" s="843">
        <v>2019</v>
      </c>
      <c r="F1480" s="844" t="s">
        <v>2800</v>
      </c>
      <c r="G1480" s="842" t="s">
        <v>2801</v>
      </c>
      <c r="H1480" s="843" t="s">
        <v>2802</v>
      </c>
      <c r="I1480" s="842" t="s">
        <v>2801</v>
      </c>
      <c r="J1480" s="840">
        <v>133004513</v>
      </c>
      <c r="K1480" s="840">
        <v>173676860</v>
      </c>
      <c r="L1480" s="841">
        <v>2803214513</v>
      </c>
      <c r="M1480" s="840">
        <v>1510142006</v>
      </c>
      <c r="N1480" s="839">
        <f>Indicadores[[#This Row],[Ventas]]/Indicadores[[#This Row],[Activos totales]]</f>
        <v>0.53871796075422218</v>
      </c>
      <c r="O1480" s="837">
        <f>IF(Indicadores[[#This Row],[Ventas]]=0,0,Indicadores[[#This Row],[EBITDA]]/Indicadores[[#This Row],[Ventas]])</f>
        <v>0.11500697239727004</v>
      </c>
      <c r="P1480" s="837">
        <f>IF(Indicadores[[#This Row],[Ventas]]=0,0,Indicadores[[#This Row],[UAI]]/Indicadores[[#This Row],[Ventas]])</f>
        <v>8.8074176118242489E-2</v>
      </c>
      <c r="Q1480" s="837">
        <f>IFERROR(Indicadores[[#This Row],[Ventas]]/Indicadores[[#This Row],[Activos totales]],0)</f>
        <v>0.53871796075422218</v>
      </c>
    </row>
    <row r="1481" spans="1:17" hidden="1" x14ac:dyDescent="0.3">
      <c r="A1481" s="13" t="str">
        <f>MID(Indicadores[[#This Row],[CIIU]],2,4)</f>
        <v>4511</v>
      </c>
      <c r="B1481" s="13" t="str">
        <f>Indicadores[[#This Row],[CIIU]]&amp;Indicadores[[#This Row],[Año]]</f>
        <v>G45112019</v>
      </c>
      <c r="C1481" s="845" t="s">
        <v>2803</v>
      </c>
      <c r="D1481" s="845" t="s">
        <v>2804</v>
      </c>
      <c r="E1481" s="843">
        <v>2019</v>
      </c>
      <c r="F1481" s="844" t="s">
        <v>2805</v>
      </c>
      <c r="G1481" s="842" t="s">
        <v>2806</v>
      </c>
      <c r="H1481" s="843" t="s">
        <v>2807</v>
      </c>
      <c r="I1481" s="842" t="s">
        <v>2806</v>
      </c>
      <c r="J1481" s="840">
        <v>550392679</v>
      </c>
      <c r="K1481" s="840">
        <v>749661582</v>
      </c>
      <c r="L1481" s="841">
        <v>14722502197</v>
      </c>
      <c r="M1481" s="840">
        <v>26499513640</v>
      </c>
      <c r="N1481" s="839">
        <f>Indicadores[[#This Row],[Ventas]]/Indicadores[[#This Row],[Activos totales]]</f>
        <v>1.7999327346271206</v>
      </c>
      <c r="O1481" s="837">
        <f>IF(Indicadores[[#This Row],[Ventas]]=0,0,Indicadores[[#This Row],[EBITDA]]/Indicadores[[#This Row],[Ventas]])</f>
        <v>2.8289635507438696E-2</v>
      </c>
      <c r="P1481" s="837">
        <f>IF(Indicadores[[#This Row],[Ventas]]=0,0,Indicadores[[#This Row],[UAI]]/Indicadores[[#This Row],[Ventas]])</f>
        <v>2.076991625118747E-2</v>
      </c>
      <c r="Q1481" s="837">
        <f>IFERROR(Indicadores[[#This Row],[Ventas]]/Indicadores[[#This Row],[Activos totales]],0)</f>
        <v>1.7999327346271206</v>
      </c>
    </row>
    <row r="1482" spans="1:17" hidden="1" x14ac:dyDescent="0.3">
      <c r="A1482" s="13" t="str">
        <f>MID(Indicadores[[#This Row],[CIIU]],2,4)</f>
        <v>4512</v>
      </c>
      <c r="B1482" s="13" t="str">
        <f>Indicadores[[#This Row],[CIIU]]&amp;Indicadores[[#This Row],[Año]]</f>
        <v>G45122019</v>
      </c>
      <c r="C1482" s="845" t="s">
        <v>2803</v>
      </c>
      <c r="D1482" s="845" t="s">
        <v>2804</v>
      </c>
      <c r="E1482" s="843">
        <v>2019</v>
      </c>
      <c r="F1482" s="844" t="s">
        <v>2808</v>
      </c>
      <c r="G1482" s="842" t="s">
        <v>2809</v>
      </c>
      <c r="H1482" s="843" t="s">
        <v>2810</v>
      </c>
      <c r="I1482" s="842" t="s">
        <v>2809</v>
      </c>
      <c r="J1482" s="840">
        <v>19141355</v>
      </c>
      <c r="K1482" s="840">
        <v>22734045</v>
      </c>
      <c r="L1482" s="841">
        <v>335082368</v>
      </c>
      <c r="M1482" s="840">
        <v>293528275</v>
      </c>
      <c r="N1482" s="839">
        <f>Indicadores[[#This Row],[Ventas]]/Indicadores[[#This Row],[Activos totales]]</f>
        <v>0.87598842264359311</v>
      </c>
      <c r="O1482" s="837">
        <f>IF(Indicadores[[#This Row],[Ventas]]=0,0,Indicadores[[#This Row],[EBITDA]]/Indicadores[[#This Row],[Ventas]])</f>
        <v>7.7450954256451099E-2</v>
      </c>
      <c r="P1482" s="837">
        <f>IF(Indicadores[[#This Row],[Ventas]]=0,0,Indicadores[[#This Row],[UAI]]/Indicadores[[#This Row],[Ventas]])</f>
        <v>6.5211281604813029E-2</v>
      </c>
      <c r="Q1482" s="837">
        <f>IFERROR(Indicadores[[#This Row],[Ventas]]/Indicadores[[#This Row],[Activos totales]],0)</f>
        <v>0.87598842264359311</v>
      </c>
    </row>
    <row r="1483" spans="1:17" hidden="1" x14ac:dyDescent="0.3">
      <c r="A1483" s="13" t="str">
        <f>MID(Indicadores[[#This Row],[CIIU]],2,4)</f>
        <v>4520</v>
      </c>
      <c r="B1483" s="13" t="str">
        <f>Indicadores[[#This Row],[CIIU]]&amp;Indicadores[[#This Row],[Año]]</f>
        <v>G45202019</v>
      </c>
      <c r="C1483" s="845" t="s">
        <v>2803</v>
      </c>
      <c r="D1483" s="845" t="s">
        <v>2804</v>
      </c>
      <c r="E1483" s="843">
        <v>2019</v>
      </c>
      <c r="F1483" s="844" t="s">
        <v>2811</v>
      </c>
      <c r="G1483" s="842" t="s">
        <v>2812</v>
      </c>
      <c r="H1483" s="843" t="s">
        <v>2813</v>
      </c>
      <c r="I1483" s="842" t="s">
        <v>2812</v>
      </c>
      <c r="J1483" s="840">
        <v>47777673</v>
      </c>
      <c r="K1483" s="840">
        <v>67601772</v>
      </c>
      <c r="L1483" s="841">
        <v>455332558</v>
      </c>
      <c r="M1483" s="840">
        <v>441838660</v>
      </c>
      <c r="N1483" s="839">
        <f>Indicadores[[#This Row],[Ventas]]/Indicadores[[#This Row],[Activos totales]]</f>
        <v>0.97036474163132436</v>
      </c>
      <c r="O1483" s="837">
        <f>IF(Indicadores[[#This Row],[Ventas]]=0,0,Indicadores[[#This Row],[EBITDA]]/Indicadores[[#This Row],[Ventas]])</f>
        <v>0.15300103435946505</v>
      </c>
      <c r="P1483" s="837">
        <f>IF(Indicadores[[#This Row],[Ventas]]=0,0,Indicadores[[#This Row],[UAI]]/Indicadores[[#This Row],[Ventas]])</f>
        <v>0.10813375407213122</v>
      </c>
      <c r="Q1483" s="837">
        <f>IFERROR(Indicadores[[#This Row],[Ventas]]/Indicadores[[#This Row],[Activos totales]],0)</f>
        <v>0.97036474163132436</v>
      </c>
    </row>
    <row r="1484" spans="1:17" hidden="1" x14ac:dyDescent="0.3">
      <c r="A1484" s="13" t="str">
        <f>MID(Indicadores[[#This Row],[CIIU]],2,4)</f>
        <v>4530</v>
      </c>
      <c r="B1484" s="13" t="str">
        <f>Indicadores[[#This Row],[CIIU]]&amp;Indicadores[[#This Row],[Año]]</f>
        <v>G45302019</v>
      </c>
      <c r="C1484" s="845" t="s">
        <v>2803</v>
      </c>
      <c r="D1484" s="845" t="s">
        <v>2804</v>
      </c>
      <c r="E1484" s="843">
        <v>2019</v>
      </c>
      <c r="F1484" s="844" t="s">
        <v>2814</v>
      </c>
      <c r="G1484" s="842" t="s">
        <v>2815</v>
      </c>
      <c r="H1484" s="843" t="s">
        <v>2816</v>
      </c>
      <c r="I1484" s="842" t="s">
        <v>2815</v>
      </c>
      <c r="J1484" s="840">
        <v>382968835</v>
      </c>
      <c r="K1484" s="840">
        <v>449312663</v>
      </c>
      <c r="L1484" s="841">
        <v>6187430564</v>
      </c>
      <c r="M1484" s="840">
        <v>7019230437</v>
      </c>
      <c r="N1484" s="839">
        <f>Indicadores[[#This Row],[Ventas]]/Indicadores[[#This Row],[Activos totales]]</f>
        <v>1.1344338113205854</v>
      </c>
      <c r="O1484" s="837">
        <f>IF(Indicadores[[#This Row],[Ventas]]=0,0,Indicadores[[#This Row],[EBITDA]]/Indicadores[[#This Row],[Ventas]])</f>
        <v>6.4011670087303046E-2</v>
      </c>
      <c r="P1484" s="837">
        <f>IF(Indicadores[[#This Row],[Ventas]]=0,0,Indicadores[[#This Row],[UAI]]/Indicadores[[#This Row],[Ventas]])</f>
        <v>5.4559946198842822E-2</v>
      </c>
      <c r="Q1484" s="837">
        <f>IFERROR(Indicadores[[#This Row],[Ventas]]/Indicadores[[#This Row],[Activos totales]],0)</f>
        <v>1.1344338113205854</v>
      </c>
    </row>
    <row r="1485" spans="1:17" hidden="1" x14ac:dyDescent="0.3">
      <c r="A1485" s="13" t="str">
        <f>MID(Indicadores[[#This Row],[CIIU]],2,4)</f>
        <v>4541</v>
      </c>
      <c r="B1485" s="13" t="str">
        <f>Indicadores[[#This Row],[CIIU]]&amp;Indicadores[[#This Row],[Año]]</f>
        <v>G45412019</v>
      </c>
      <c r="C1485" s="845" t="s">
        <v>2803</v>
      </c>
      <c r="D1485" s="845" t="s">
        <v>2804</v>
      </c>
      <c r="E1485" s="843">
        <v>2019</v>
      </c>
      <c r="F1485" s="844" t="s">
        <v>2817</v>
      </c>
      <c r="G1485" s="842" t="s">
        <v>2818</v>
      </c>
      <c r="H1485" s="843" t="s">
        <v>2819</v>
      </c>
      <c r="I1485" s="842" t="s">
        <v>2818</v>
      </c>
      <c r="J1485" s="840">
        <v>48373834</v>
      </c>
      <c r="K1485" s="840">
        <v>56817400</v>
      </c>
      <c r="L1485" s="841">
        <v>1065839559</v>
      </c>
      <c r="M1485" s="840">
        <v>1902335770</v>
      </c>
      <c r="N1485" s="839">
        <f>Indicadores[[#This Row],[Ventas]]/Indicadores[[#This Row],[Activos totales]]</f>
        <v>1.7848237607026181</v>
      </c>
      <c r="O1485" s="837">
        <f>IF(Indicadores[[#This Row],[Ventas]]=0,0,Indicadores[[#This Row],[EBITDA]]/Indicadores[[#This Row],[Ventas]])</f>
        <v>2.9867177443653914E-2</v>
      </c>
      <c r="P1485" s="837">
        <f>IF(Indicadores[[#This Row],[Ventas]]=0,0,Indicadores[[#This Row],[UAI]]/Indicadores[[#This Row],[Ventas]])</f>
        <v>2.5428651851507791E-2</v>
      </c>
      <c r="Q1485" s="837">
        <f>IFERROR(Indicadores[[#This Row],[Ventas]]/Indicadores[[#This Row],[Activos totales]],0)</f>
        <v>1.7848237607026181</v>
      </c>
    </row>
    <row r="1486" spans="1:17" hidden="1" x14ac:dyDescent="0.3">
      <c r="A1486" s="13" t="str">
        <f>MID(Indicadores[[#This Row],[CIIU]],2,4)</f>
        <v>4542</v>
      </c>
      <c r="B1486" s="13" t="str">
        <f>Indicadores[[#This Row],[CIIU]]&amp;Indicadores[[#This Row],[Año]]</f>
        <v>G45422019</v>
      </c>
      <c r="C1486" s="845" t="s">
        <v>2803</v>
      </c>
      <c r="D1486" s="845" t="s">
        <v>2804</v>
      </c>
      <c r="E1486" s="843">
        <v>2019</v>
      </c>
      <c r="F1486" s="844" t="s">
        <v>2820</v>
      </c>
      <c r="G1486" s="842" t="s">
        <v>2821</v>
      </c>
      <c r="H1486" s="843" t="s">
        <v>2822</v>
      </c>
      <c r="I1486" s="842" t="s">
        <v>2821</v>
      </c>
      <c r="J1486" s="840">
        <v>348281</v>
      </c>
      <c r="K1486" s="840">
        <v>348281</v>
      </c>
      <c r="L1486" s="841">
        <v>8691511</v>
      </c>
      <c r="M1486" s="840">
        <v>11739048</v>
      </c>
      <c r="N1486" s="839">
        <f>Indicadores[[#This Row],[Ventas]]/Indicadores[[#This Row],[Activos totales]]</f>
        <v>1.3506337390587206</v>
      </c>
      <c r="O1486" s="837">
        <f>IF(Indicadores[[#This Row],[Ventas]]=0,0,Indicadores[[#This Row],[EBITDA]]/Indicadores[[#This Row],[Ventas]])</f>
        <v>2.9668589820912222E-2</v>
      </c>
      <c r="P1486" s="837">
        <f>IF(Indicadores[[#This Row],[Ventas]]=0,0,Indicadores[[#This Row],[UAI]]/Indicadores[[#This Row],[Ventas]])</f>
        <v>2.9668589820912222E-2</v>
      </c>
      <c r="Q1486" s="837">
        <f>IFERROR(Indicadores[[#This Row],[Ventas]]/Indicadores[[#This Row],[Activos totales]],0)</f>
        <v>1.3506337390587206</v>
      </c>
    </row>
    <row r="1487" spans="1:17" hidden="1" x14ac:dyDescent="0.3">
      <c r="A1487" s="13" t="str">
        <f>MID(Indicadores[[#This Row],[CIIU]],2,4)</f>
        <v>4610</v>
      </c>
      <c r="B1487" s="13" t="str">
        <f>Indicadores[[#This Row],[CIIU]]&amp;Indicadores[[#This Row],[Año]]</f>
        <v>G46102019</v>
      </c>
      <c r="C1487" s="845" t="s">
        <v>2803</v>
      </c>
      <c r="D1487" s="845" t="s">
        <v>2823</v>
      </c>
      <c r="E1487" s="843">
        <v>2019</v>
      </c>
      <c r="F1487" s="844" t="s">
        <v>2824</v>
      </c>
      <c r="G1487" s="842" t="s">
        <v>2825</v>
      </c>
      <c r="H1487" s="843" t="s">
        <v>2826</v>
      </c>
      <c r="I1487" s="842" t="s">
        <v>2825</v>
      </c>
      <c r="J1487" s="840">
        <v>33425159</v>
      </c>
      <c r="K1487" s="840">
        <v>66748709</v>
      </c>
      <c r="L1487" s="841">
        <v>1252248239</v>
      </c>
      <c r="M1487" s="840">
        <v>1408612492</v>
      </c>
      <c r="N1487" s="839">
        <f>Indicadores[[#This Row],[Ventas]]/Indicadores[[#This Row],[Activos totales]]</f>
        <v>1.1248668180399015</v>
      </c>
      <c r="O1487" s="837">
        <f>IF(Indicadores[[#This Row],[Ventas]]=0,0,Indicadores[[#This Row],[EBITDA]]/Indicadores[[#This Row],[Ventas]])</f>
        <v>4.7386140176300523E-2</v>
      </c>
      <c r="P1487" s="837">
        <f>IF(Indicadores[[#This Row],[Ventas]]=0,0,Indicadores[[#This Row],[UAI]]/Indicadores[[#This Row],[Ventas]])</f>
        <v>2.3729137140152522E-2</v>
      </c>
      <c r="Q1487" s="837">
        <f>IFERROR(Indicadores[[#This Row],[Ventas]]/Indicadores[[#This Row],[Activos totales]],0)</f>
        <v>1.1248668180399015</v>
      </c>
    </row>
    <row r="1488" spans="1:17" hidden="1" x14ac:dyDescent="0.3">
      <c r="A1488" s="13" t="str">
        <f>MID(Indicadores[[#This Row],[CIIU]],2,4)</f>
        <v>4620</v>
      </c>
      <c r="B1488" s="13" t="str">
        <f>Indicadores[[#This Row],[CIIU]]&amp;Indicadores[[#This Row],[Año]]</f>
        <v>G46202019</v>
      </c>
      <c r="C1488" s="845" t="s">
        <v>2803</v>
      </c>
      <c r="D1488" s="845" t="s">
        <v>2823</v>
      </c>
      <c r="E1488" s="843">
        <v>2019</v>
      </c>
      <c r="F1488" s="844" t="s">
        <v>2827</v>
      </c>
      <c r="G1488" s="842" t="s">
        <v>2828</v>
      </c>
      <c r="H1488" s="843" t="s">
        <v>2829</v>
      </c>
      <c r="I1488" s="842" t="s">
        <v>2828</v>
      </c>
      <c r="J1488" s="840">
        <v>209834248</v>
      </c>
      <c r="K1488" s="840">
        <v>252799567</v>
      </c>
      <c r="L1488" s="841">
        <v>4706183138</v>
      </c>
      <c r="M1488" s="840">
        <v>9055760108</v>
      </c>
      <c r="N1488" s="839">
        <f>Indicadores[[#This Row],[Ventas]]/Indicadores[[#This Row],[Activos totales]]</f>
        <v>1.9242260325314182</v>
      </c>
      <c r="O1488" s="837">
        <f>IF(Indicadores[[#This Row],[Ventas]]=0,0,Indicadores[[#This Row],[EBITDA]]/Indicadores[[#This Row],[Ventas]])</f>
        <v>2.7915886020067261E-2</v>
      </c>
      <c r="P1488" s="837">
        <f>IF(Indicadores[[#This Row],[Ventas]]=0,0,Indicadores[[#This Row],[UAI]]/Indicadores[[#This Row],[Ventas]])</f>
        <v>2.3171356738417699E-2</v>
      </c>
      <c r="Q1488" s="837">
        <f>IFERROR(Indicadores[[#This Row],[Ventas]]/Indicadores[[#This Row],[Activos totales]],0)</f>
        <v>1.9242260325314182</v>
      </c>
    </row>
    <row r="1489" spans="1:17" hidden="1" x14ac:dyDescent="0.3">
      <c r="A1489" s="13" t="str">
        <f>MID(Indicadores[[#This Row],[CIIU]],2,4)</f>
        <v>4631</v>
      </c>
      <c r="B1489" s="13" t="str">
        <f>Indicadores[[#This Row],[CIIU]]&amp;Indicadores[[#This Row],[Año]]</f>
        <v>G46312019</v>
      </c>
      <c r="C1489" s="845" t="s">
        <v>2803</v>
      </c>
      <c r="D1489" s="845" t="s">
        <v>2823</v>
      </c>
      <c r="E1489" s="843">
        <v>2019</v>
      </c>
      <c r="F1489" s="844" t="s">
        <v>2830</v>
      </c>
      <c r="G1489" s="842" t="s">
        <v>2831</v>
      </c>
      <c r="H1489" s="843" t="s">
        <v>2832</v>
      </c>
      <c r="I1489" s="842" t="s">
        <v>2831</v>
      </c>
      <c r="J1489" s="840">
        <v>241596303</v>
      </c>
      <c r="K1489" s="840">
        <v>317776643</v>
      </c>
      <c r="L1489" s="841">
        <v>5977376224</v>
      </c>
      <c r="M1489" s="840">
        <v>12328016278</v>
      </c>
      <c r="N1489" s="839">
        <f>Indicadores[[#This Row],[Ventas]]/Indicadores[[#This Row],[Activos totales]]</f>
        <v>2.0624460994275871</v>
      </c>
      <c r="O1489" s="837">
        <f>IF(Indicadores[[#This Row],[Ventas]]=0,0,Indicadores[[#This Row],[EBITDA]]/Indicadores[[#This Row],[Ventas]])</f>
        <v>2.577678645404527E-2</v>
      </c>
      <c r="P1489" s="837">
        <f>IF(Indicadores[[#This Row],[Ventas]]=0,0,Indicadores[[#This Row],[UAI]]/Indicadores[[#This Row],[Ventas]])</f>
        <v>1.9597338091704296E-2</v>
      </c>
      <c r="Q1489" s="837">
        <f>IFERROR(Indicadores[[#This Row],[Ventas]]/Indicadores[[#This Row],[Activos totales]],0)</f>
        <v>2.0624460994275871</v>
      </c>
    </row>
    <row r="1490" spans="1:17" hidden="1" x14ac:dyDescent="0.3">
      <c r="A1490" s="13" t="str">
        <f>MID(Indicadores[[#This Row],[CIIU]],2,4)</f>
        <v>4632</v>
      </c>
      <c r="B1490" s="13" t="str">
        <f>Indicadores[[#This Row],[CIIU]]&amp;Indicadores[[#This Row],[Año]]</f>
        <v>G46322019</v>
      </c>
      <c r="C1490" s="845" t="s">
        <v>2803</v>
      </c>
      <c r="D1490" s="845" t="s">
        <v>2823</v>
      </c>
      <c r="E1490" s="843">
        <v>2019</v>
      </c>
      <c r="F1490" s="844" t="s">
        <v>2833</v>
      </c>
      <c r="G1490" s="842" t="s">
        <v>2834</v>
      </c>
      <c r="H1490" s="843" t="s">
        <v>2835</v>
      </c>
      <c r="I1490" s="842" t="s">
        <v>2834</v>
      </c>
      <c r="J1490" s="840">
        <v>880546981</v>
      </c>
      <c r="K1490" s="840">
        <v>953436681</v>
      </c>
      <c r="L1490" s="841">
        <v>9386186725</v>
      </c>
      <c r="M1490" s="840">
        <v>12811102970</v>
      </c>
      <c r="N1490" s="839">
        <f>Indicadores[[#This Row],[Ventas]]/Indicadores[[#This Row],[Activos totales]]</f>
        <v>1.3648889954296111</v>
      </c>
      <c r="O1490" s="837">
        <f>IF(Indicadores[[#This Row],[Ventas]]=0,0,Indicadores[[#This Row],[EBITDA]]/Indicadores[[#This Row],[Ventas]])</f>
        <v>7.4422685012577025E-2</v>
      </c>
      <c r="P1490" s="837">
        <f>IF(Indicadores[[#This Row],[Ventas]]=0,0,Indicadores[[#This Row],[UAI]]/Indicadores[[#This Row],[Ventas]])</f>
        <v>6.8733112446445352E-2</v>
      </c>
      <c r="Q1490" s="837">
        <f>IFERROR(Indicadores[[#This Row],[Ventas]]/Indicadores[[#This Row],[Activos totales]],0)</f>
        <v>1.3648889954296111</v>
      </c>
    </row>
    <row r="1491" spans="1:17" hidden="1" x14ac:dyDescent="0.3">
      <c r="A1491" s="13" t="str">
        <f>MID(Indicadores[[#This Row],[CIIU]],2,4)</f>
        <v>4641</v>
      </c>
      <c r="B1491" s="13" t="str">
        <f>Indicadores[[#This Row],[CIIU]]&amp;Indicadores[[#This Row],[Año]]</f>
        <v>G46412019</v>
      </c>
      <c r="C1491" s="845" t="s">
        <v>2803</v>
      </c>
      <c r="D1491" s="845" t="s">
        <v>2823</v>
      </c>
      <c r="E1491" s="843">
        <v>2019</v>
      </c>
      <c r="F1491" s="844" t="s">
        <v>2836</v>
      </c>
      <c r="G1491" s="842" t="s">
        <v>2837</v>
      </c>
      <c r="H1491" s="843" t="s">
        <v>2838</v>
      </c>
      <c r="I1491" s="842" t="s">
        <v>2837</v>
      </c>
      <c r="J1491" s="840">
        <v>79962237</v>
      </c>
      <c r="K1491" s="840">
        <v>93021699</v>
      </c>
      <c r="L1491" s="841">
        <v>2115423426</v>
      </c>
      <c r="M1491" s="840">
        <v>2203768313</v>
      </c>
      <c r="N1491" s="839">
        <f>Indicadores[[#This Row],[Ventas]]/Indicadores[[#This Row],[Activos totales]]</f>
        <v>1.0417622712853516</v>
      </c>
      <c r="O1491" s="837">
        <f>IF(Indicadores[[#This Row],[Ventas]]=0,0,Indicadores[[#This Row],[EBITDA]]/Indicadores[[#This Row],[Ventas]])</f>
        <v>4.2210289734753985E-2</v>
      </c>
      <c r="P1491" s="837">
        <f>IF(Indicadores[[#This Row],[Ventas]]=0,0,Indicadores[[#This Row],[UAI]]/Indicadores[[#This Row],[Ventas]])</f>
        <v>3.6284321055123546E-2</v>
      </c>
      <c r="Q1491" s="837">
        <f>IFERROR(Indicadores[[#This Row],[Ventas]]/Indicadores[[#This Row],[Activos totales]],0)</f>
        <v>1.0417622712853516</v>
      </c>
    </row>
    <row r="1492" spans="1:17" hidden="1" x14ac:dyDescent="0.3">
      <c r="A1492" s="13" t="str">
        <f>MID(Indicadores[[#This Row],[CIIU]],2,4)</f>
        <v>4642</v>
      </c>
      <c r="B1492" s="13" t="str">
        <f>Indicadores[[#This Row],[CIIU]]&amp;Indicadores[[#This Row],[Año]]</f>
        <v>G46422019</v>
      </c>
      <c r="C1492" s="845" t="s">
        <v>2803</v>
      </c>
      <c r="D1492" s="845" t="s">
        <v>2823</v>
      </c>
      <c r="E1492" s="843">
        <v>2019</v>
      </c>
      <c r="F1492" s="844" t="s">
        <v>2839</v>
      </c>
      <c r="G1492" s="842" t="s">
        <v>2840</v>
      </c>
      <c r="H1492" s="843" t="s">
        <v>2841</v>
      </c>
      <c r="I1492" s="842" t="s">
        <v>2840</v>
      </c>
      <c r="J1492" s="840">
        <v>-495175</v>
      </c>
      <c r="K1492" s="840">
        <v>4062706</v>
      </c>
      <c r="L1492" s="841">
        <v>332689519</v>
      </c>
      <c r="M1492" s="840">
        <v>332533692</v>
      </c>
      <c r="N1492" s="839">
        <f>Indicadores[[#This Row],[Ventas]]/Indicadores[[#This Row],[Activos totales]]</f>
        <v>0.99953161433979532</v>
      </c>
      <c r="O1492" s="837">
        <f>IF(Indicadores[[#This Row],[Ventas]]=0,0,Indicadores[[#This Row],[EBITDA]]/Indicadores[[#This Row],[Ventas]])</f>
        <v>1.2217426678076277E-2</v>
      </c>
      <c r="P1492" s="837">
        <f>IF(Indicadores[[#This Row],[Ventas]]=0,0,Indicadores[[#This Row],[UAI]]/Indicadores[[#This Row],[Ventas]])</f>
        <v>-1.4890972310859856E-3</v>
      </c>
      <c r="Q1492" s="837">
        <f>IFERROR(Indicadores[[#This Row],[Ventas]]/Indicadores[[#This Row],[Activos totales]],0)</f>
        <v>0.99953161433979532</v>
      </c>
    </row>
    <row r="1493" spans="1:17" hidden="1" x14ac:dyDescent="0.3">
      <c r="A1493" s="13" t="str">
        <f>MID(Indicadores[[#This Row],[CIIU]],2,4)</f>
        <v>4643</v>
      </c>
      <c r="B1493" s="13" t="str">
        <f>Indicadores[[#This Row],[CIIU]]&amp;Indicadores[[#This Row],[Año]]</f>
        <v>G46432019</v>
      </c>
      <c r="C1493" s="845" t="s">
        <v>2803</v>
      </c>
      <c r="D1493" s="845" t="s">
        <v>2823</v>
      </c>
      <c r="E1493" s="843">
        <v>2019</v>
      </c>
      <c r="F1493" s="844" t="s">
        <v>2842</v>
      </c>
      <c r="G1493" s="842" t="s">
        <v>2843</v>
      </c>
      <c r="H1493" s="843" t="s">
        <v>2844</v>
      </c>
      <c r="I1493" s="842" t="s">
        <v>2843</v>
      </c>
      <c r="J1493" s="840">
        <v>101054455</v>
      </c>
      <c r="K1493" s="840">
        <v>165908101</v>
      </c>
      <c r="L1493" s="841">
        <v>1500281561</v>
      </c>
      <c r="M1493" s="840">
        <v>2161817535</v>
      </c>
      <c r="N1493" s="839">
        <f>Indicadores[[#This Row],[Ventas]]/Indicadores[[#This Row],[Activos totales]]</f>
        <v>1.4409412147670859</v>
      </c>
      <c r="O1493" s="837">
        <f>IF(Indicadores[[#This Row],[Ventas]]=0,0,Indicadores[[#This Row],[EBITDA]]/Indicadores[[#This Row],[Ventas]])</f>
        <v>7.6744729059661371E-2</v>
      </c>
      <c r="P1493" s="837">
        <f>IF(Indicadores[[#This Row],[Ventas]]=0,0,Indicadores[[#This Row],[UAI]]/Indicadores[[#This Row],[Ventas]])</f>
        <v>4.6745136147672152E-2</v>
      </c>
      <c r="Q1493" s="837">
        <f>IFERROR(Indicadores[[#This Row],[Ventas]]/Indicadores[[#This Row],[Activos totales]],0)</f>
        <v>1.4409412147670859</v>
      </c>
    </row>
    <row r="1494" spans="1:17" hidden="1" x14ac:dyDescent="0.3">
      <c r="A1494" s="13" t="str">
        <f>MID(Indicadores[[#This Row],[CIIU]],2,4)</f>
        <v>4644</v>
      </c>
      <c r="B1494" s="13" t="str">
        <f>Indicadores[[#This Row],[CIIU]]&amp;Indicadores[[#This Row],[Año]]</f>
        <v>G46442019</v>
      </c>
      <c r="C1494" s="845" t="s">
        <v>2803</v>
      </c>
      <c r="D1494" s="845" t="s">
        <v>2823</v>
      </c>
      <c r="E1494" s="843">
        <v>2019</v>
      </c>
      <c r="F1494" s="844" t="s">
        <v>2845</v>
      </c>
      <c r="G1494" s="842" t="s">
        <v>2846</v>
      </c>
      <c r="H1494" s="843" t="s">
        <v>2847</v>
      </c>
      <c r="I1494" s="842" t="s">
        <v>2846</v>
      </c>
      <c r="J1494" s="840">
        <v>71001462</v>
      </c>
      <c r="K1494" s="840">
        <v>91503358</v>
      </c>
      <c r="L1494" s="841">
        <v>1717728640</v>
      </c>
      <c r="M1494" s="840">
        <v>2807914920</v>
      </c>
      <c r="N1494" s="839">
        <f>Indicadores[[#This Row],[Ventas]]/Indicadores[[#This Row],[Activos totales]]</f>
        <v>1.6346673476900286</v>
      </c>
      <c r="O1494" s="837">
        <f>IF(Indicadores[[#This Row],[Ventas]]=0,0,Indicadores[[#This Row],[EBITDA]]/Indicadores[[#This Row],[Ventas]])</f>
        <v>3.2587653332459235E-2</v>
      </c>
      <c r="P1494" s="837">
        <f>IF(Indicadores[[#This Row],[Ventas]]=0,0,Indicadores[[#This Row],[UAI]]/Indicadores[[#This Row],[Ventas]])</f>
        <v>2.5286187090027643E-2</v>
      </c>
      <c r="Q1494" s="837">
        <f>IFERROR(Indicadores[[#This Row],[Ventas]]/Indicadores[[#This Row],[Activos totales]],0)</f>
        <v>1.6346673476900286</v>
      </c>
    </row>
    <row r="1495" spans="1:17" hidden="1" x14ac:dyDescent="0.3">
      <c r="A1495" s="13" t="str">
        <f>MID(Indicadores[[#This Row],[CIIU]],2,4)</f>
        <v>4645</v>
      </c>
      <c r="B1495" s="13" t="str">
        <f>Indicadores[[#This Row],[CIIU]]&amp;Indicadores[[#This Row],[Año]]</f>
        <v>G46452019</v>
      </c>
      <c r="C1495" s="845" t="s">
        <v>2803</v>
      </c>
      <c r="D1495" s="845" t="s">
        <v>2823</v>
      </c>
      <c r="E1495" s="843">
        <v>2019</v>
      </c>
      <c r="F1495" s="844" t="s">
        <v>2848</v>
      </c>
      <c r="G1495" s="842" t="s">
        <v>2849</v>
      </c>
      <c r="H1495" s="843" t="s">
        <v>2850</v>
      </c>
      <c r="I1495" s="842" t="s">
        <v>2849</v>
      </c>
      <c r="J1495" s="840">
        <v>1059004816</v>
      </c>
      <c r="K1495" s="840">
        <v>1371326575</v>
      </c>
      <c r="L1495" s="841">
        <v>17527959536</v>
      </c>
      <c r="M1495" s="840">
        <v>23157098557</v>
      </c>
      <c r="N1495" s="839">
        <f>Indicadores[[#This Row],[Ventas]]/Indicadores[[#This Row],[Activos totales]]</f>
        <v>1.3211519863129835</v>
      </c>
      <c r="O1495" s="837">
        <f>IF(Indicadores[[#This Row],[Ventas]]=0,0,Indicadores[[#This Row],[EBITDA]]/Indicadores[[#This Row],[Ventas]])</f>
        <v>5.9218410787713782E-2</v>
      </c>
      <c r="P1495" s="837">
        <f>IF(Indicadores[[#This Row],[Ventas]]=0,0,Indicadores[[#This Row],[UAI]]/Indicadores[[#This Row],[Ventas]])</f>
        <v>4.573132568371268E-2</v>
      </c>
      <c r="Q1495" s="837">
        <f>IFERROR(Indicadores[[#This Row],[Ventas]]/Indicadores[[#This Row],[Activos totales]],0)</f>
        <v>1.3211519863129835</v>
      </c>
    </row>
    <row r="1496" spans="1:17" hidden="1" x14ac:dyDescent="0.3">
      <c r="A1496" s="13" t="str">
        <f>MID(Indicadores[[#This Row],[CIIU]],2,4)</f>
        <v>4649</v>
      </c>
      <c r="B1496" s="13" t="str">
        <f>Indicadores[[#This Row],[CIIU]]&amp;Indicadores[[#This Row],[Año]]</f>
        <v>G46492019</v>
      </c>
      <c r="C1496" s="845" t="s">
        <v>2803</v>
      </c>
      <c r="D1496" s="845" t="s">
        <v>2823</v>
      </c>
      <c r="E1496" s="843">
        <v>2019</v>
      </c>
      <c r="F1496" s="844" t="s">
        <v>2851</v>
      </c>
      <c r="G1496" s="842" t="s">
        <v>2852</v>
      </c>
      <c r="H1496" s="843" t="s">
        <v>2853</v>
      </c>
      <c r="I1496" s="842" t="s">
        <v>2852</v>
      </c>
      <c r="J1496" s="840">
        <v>76888080</v>
      </c>
      <c r="K1496" s="840">
        <v>95959875</v>
      </c>
      <c r="L1496" s="841">
        <v>1547827125</v>
      </c>
      <c r="M1496" s="840">
        <v>1756579617</v>
      </c>
      <c r="N1496" s="839">
        <f>Indicadores[[#This Row],[Ventas]]/Indicadores[[#This Row],[Activos totales]]</f>
        <v>1.1348680925849519</v>
      </c>
      <c r="O1496" s="837">
        <f>IF(Indicadores[[#This Row],[Ventas]]=0,0,Indicadores[[#This Row],[EBITDA]]/Indicadores[[#This Row],[Ventas]])</f>
        <v>5.4628821871385749E-2</v>
      </c>
      <c r="P1496" s="837">
        <f>IF(Indicadores[[#This Row],[Ventas]]=0,0,Indicadores[[#This Row],[UAI]]/Indicadores[[#This Row],[Ventas]])</f>
        <v>4.3771474549678779E-2</v>
      </c>
      <c r="Q1496" s="837">
        <f>IFERROR(Indicadores[[#This Row],[Ventas]]/Indicadores[[#This Row],[Activos totales]],0)</f>
        <v>1.1348680925849519</v>
      </c>
    </row>
    <row r="1497" spans="1:17" hidden="1" x14ac:dyDescent="0.3">
      <c r="A1497" s="13" t="str">
        <f>MID(Indicadores[[#This Row],[CIIU]],2,4)</f>
        <v>4651</v>
      </c>
      <c r="B1497" s="13" t="str">
        <f>Indicadores[[#This Row],[CIIU]]&amp;Indicadores[[#This Row],[Año]]</f>
        <v>G46512019</v>
      </c>
      <c r="C1497" s="845" t="s">
        <v>2803</v>
      </c>
      <c r="D1497" s="845" t="s">
        <v>2823</v>
      </c>
      <c r="E1497" s="843">
        <v>2019</v>
      </c>
      <c r="F1497" s="844" t="s">
        <v>2854</v>
      </c>
      <c r="G1497" s="842" t="s">
        <v>2855</v>
      </c>
      <c r="H1497" s="843" t="s">
        <v>2856</v>
      </c>
      <c r="I1497" s="842" t="s">
        <v>2855</v>
      </c>
      <c r="J1497" s="840">
        <v>189786514</v>
      </c>
      <c r="K1497" s="840">
        <v>237300309</v>
      </c>
      <c r="L1497" s="841">
        <v>3828750752</v>
      </c>
      <c r="M1497" s="840">
        <v>7570145573</v>
      </c>
      <c r="N1497" s="839">
        <f>Indicadores[[#This Row],[Ventas]]/Indicadores[[#This Row],[Activos totales]]</f>
        <v>1.9771842210009705</v>
      </c>
      <c r="O1497" s="837">
        <f>IF(Indicadores[[#This Row],[Ventas]]=0,0,Indicadores[[#This Row],[EBITDA]]/Indicadores[[#This Row],[Ventas]])</f>
        <v>3.1346862053269524E-2</v>
      </c>
      <c r="P1497" s="837">
        <f>IF(Indicadores[[#This Row],[Ventas]]=0,0,Indicadores[[#This Row],[UAI]]/Indicadores[[#This Row],[Ventas]])</f>
        <v>2.5070391602098192E-2</v>
      </c>
      <c r="Q1497" s="837">
        <f>IFERROR(Indicadores[[#This Row],[Ventas]]/Indicadores[[#This Row],[Activos totales]],0)</f>
        <v>1.9771842210009705</v>
      </c>
    </row>
    <row r="1498" spans="1:17" hidden="1" x14ac:dyDescent="0.3">
      <c r="A1498" s="13" t="str">
        <f>MID(Indicadores[[#This Row],[CIIU]],2,4)</f>
        <v>4652</v>
      </c>
      <c r="B1498" s="13" t="str">
        <f>Indicadores[[#This Row],[CIIU]]&amp;Indicadores[[#This Row],[Año]]</f>
        <v>G46522019</v>
      </c>
      <c r="C1498" s="845" t="s">
        <v>2803</v>
      </c>
      <c r="D1498" s="845" t="s">
        <v>2823</v>
      </c>
      <c r="E1498" s="843">
        <v>2019</v>
      </c>
      <c r="F1498" s="844" t="s">
        <v>2857</v>
      </c>
      <c r="G1498" s="842" t="s">
        <v>2858</v>
      </c>
      <c r="H1498" s="843" t="s">
        <v>2859</v>
      </c>
      <c r="I1498" s="842" t="s">
        <v>2858</v>
      </c>
      <c r="J1498" s="840">
        <v>106178477</v>
      </c>
      <c r="K1498" s="840">
        <v>142801396</v>
      </c>
      <c r="L1498" s="841">
        <v>3975626822</v>
      </c>
      <c r="M1498" s="840">
        <v>6526477098</v>
      </c>
      <c r="N1498" s="839">
        <f>Indicadores[[#This Row],[Ventas]]/Indicadores[[#This Row],[Activos totales]]</f>
        <v>1.6416221617895101</v>
      </c>
      <c r="O1498" s="837">
        <f>IF(Indicadores[[#This Row],[Ventas]]=0,0,Indicadores[[#This Row],[EBITDA]]/Indicadores[[#This Row],[Ventas]])</f>
        <v>2.1880318256806669E-2</v>
      </c>
      <c r="P1498" s="837">
        <f>IF(Indicadores[[#This Row],[Ventas]]=0,0,Indicadores[[#This Row],[UAI]]/Indicadores[[#This Row],[Ventas]])</f>
        <v>1.6268880654241133E-2</v>
      </c>
      <c r="Q1498" s="837">
        <f>IFERROR(Indicadores[[#This Row],[Ventas]]/Indicadores[[#This Row],[Activos totales]],0)</f>
        <v>1.6416221617895101</v>
      </c>
    </row>
    <row r="1499" spans="1:17" hidden="1" x14ac:dyDescent="0.3">
      <c r="A1499" s="13" t="str">
        <f>MID(Indicadores[[#This Row],[CIIU]],2,4)</f>
        <v>4653</v>
      </c>
      <c r="B1499" s="13" t="str">
        <f>Indicadores[[#This Row],[CIIU]]&amp;Indicadores[[#This Row],[Año]]</f>
        <v>G46532019</v>
      </c>
      <c r="C1499" s="845" t="s">
        <v>2803</v>
      </c>
      <c r="D1499" s="845" t="s">
        <v>2823</v>
      </c>
      <c r="E1499" s="843">
        <v>2019</v>
      </c>
      <c r="F1499" s="844" t="s">
        <v>2860</v>
      </c>
      <c r="G1499" s="842" t="s">
        <v>2861</v>
      </c>
      <c r="H1499" s="843" t="s">
        <v>2862</v>
      </c>
      <c r="I1499" s="842" t="s">
        <v>2861</v>
      </c>
      <c r="J1499" s="840">
        <v>42213568</v>
      </c>
      <c r="K1499" s="840">
        <v>49754147</v>
      </c>
      <c r="L1499" s="841">
        <v>797529874</v>
      </c>
      <c r="M1499" s="840">
        <v>787856164</v>
      </c>
      <c r="N1499" s="839">
        <f>Indicadores[[#This Row],[Ventas]]/Indicadores[[#This Row],[Activos totales]]</f>
        <v>0.98787041048195268</v>
      </c>
      <c r="O1499" s="837">
        <f>IF(Indicadores[[#This Row],[Ventas]]=0,0,Indicadores[[#This Row],[EBITDA]]/Indicadores[[#This Row],[Ventas]])</f>
        <v>6.3151307654172262E-2</v>
      </c>
      <c r="P1499" s="837">
        <f>IF(Indicadores[[#This Row],[Ventas]]=0,0,Indicadores[[#This Row],[UAI]]/Indicadores[[#This Row],[Ventas]])</f>
        <v>5.3580297938749133E-2</v>
      </c>
      <c r="Q1499" s="837">
        <f>IFERROR(Indicadores[[#This Row],[Ventas]]/Indicadores[[#This Row],[Activos totales]],0)</f>
        <v>0.98787041048195268</v>
      </c>
    </row>
    <row r="1500" spans="1:17" hidden="1" x14ac:dyDescent="0.3">
      <c r="A1500" s="13" t="str">
        <f>MID(Indicadores[[#This Row],[CIIU]],2,4)</f>
        <v>4659</v>
      </c>
      <c r="B1500" s="13" t="str">
        <f>Indicadores[[#This Row],[CIIU]]&amp;Indicadores[[#This Row],[Año]]</f>
        <v>G46592019</v>
      </c>
      <c r="C1500" s="845" t="s">
        <v>2803</v>
      </c>
      <c r="D1500" s="845" t="s">
        <v>2823</v>
      </c>
      <c r="E1500" s="843">
        <v>2019</v>
      </c>
      <c r="F1500" s="844" t="s">
        <v>2863</v>
      </c>
      <c r="G1500" s="842" t="s">
        <v>2864</v>
      </c>
      <c r="H1500" s="843" t="s">
        <v>2865</v>
      </c>
      <c r="I1500" s="842" t="s">
        <v>2864</v>
      </c>
      <c r="J1500" s="840">
        <v>658623373</v>
      </c>
      <c r="K1500" s="840">
        <v>850929310</v>
      </c>
      <c r="L1500" s="841">
        <v>10576221703</v>
      </c>
      <c r="M1500" s="840">
        <v>10755440349</v>
      </c>
      <c r="N1500" s="839">
        <f>Indicadores[[#This Row],[Ventas]]/Indicadores[[#This Row],[Activos totales]]</f>
        <v>1.0169454320297733</v>
      </c>
      <c r="O1500" s="837">
        <f>IF(Indicadores[[#This Row],[Ventas]]=0,0,Indicadores[[#This Row],[EBITDA]]/Indicadores[[#This Row],[Ventas]])</f>
        <v>7.9116175850402648E-2</v>
      </c>
      <c r="P1500" s="837">
        <f>IF(Indicadores[[#This Row],[Ventas]]=0,0,Indicadores[[#This Row],[UAI]]/Indicadores[[#This Row],[Ventas]])</f>
        <v>6.1236300107529888E-2</v>
      </c>
      <c r="Q1500" s="837">
        <f>IFERROR(Indicadores[[#This Row],[Ventas]]/Indicadores[[#This Row],[Activos totales]],0)</f>
        <v>1.0169454320297733</v>
      </c>
    </row>
    <row r="1501" spans="1:17" hidden="1" x14ac:dyDescent="0.3">
      <c r="A1501" s="13" t="str">
        <f>MID(Indicadores[[#This Row],[CIIU]],2,4)</f>
        <v>4661</v>
      </c>
      <c r="B1501" s="13" t="str">
        <f>Indicadores[[#This Row],[CIIU]]&amp;Indicadores[[#This Row],[Año]]</f>
        <v>G46612019</v>
      </c>
      <c r="C1501" s="845" t="s">
        <v>2803</v>
      </c>
      <c r="D1501" s="845" t="s">
        <v>2823</v>
      </c>
      <c r="E1501" s="843">
        <v>2019</v>
      </c>
      <c r="F1501" s="844" t="s">
        <v>2866</v>
      </c>
      <c r="G1501" s="842" t="s">
        <v>2867</v>
      </c>
      <c r="H1501" s="843" t="s">
        <v>2868</v>
      </c>
      <c r="I1501" s="842" t="s">
        <v>2867</v>
      </c>
      <c r="J1501" s="840">
        <v>207985805</v>
      </c>
      <c r="K1501" s="840">
        <v>380738337</v>
      </c>
      <c r="L1501" s="841">
        <v>7364490040</v>
      </c>
      <c r="M1501" s="840">
        <v>23977560117</v>
      </c>
      <c r="N1501" s="839">
        <f>Indicadores[[#This Row],[Ventas]]/Indicadores[[#This Row],[Activos totales]]</f>
        <v>3.2558344144355718</v>
      </c>
      <c r="O1501" s="837">
        <f>IF(Indicadores[[#This Row],[Ventas]]=0,0,Indicadores[[#This Row],[EBITDA]]/Indicadores[[#This Row],[Ventas]])</f>
        <v>1.5878944110333307E-2</v>
      </c>
      <c r="P1501" s="837">
        <f>IF(Indicadores[[#This Row],[Ventas]]=0,0,Indicadores[[#This Row],[UAI]]/Indicadores[[#This Row],[Ventas]])</f>
        <v>8.6741855295167768E-3</v>
      </c>
      <c r="Q1501" s="837">
        <f>IFERROR(Indicadores[[#This Row],[Ventas]]/Indicadores[[#This Row],[Activos totales]],0)</f>
        <v>3.2558344144355718</v>
      </c>
    </row>
    <row r="1502" spans="1:17" hidden="1" x14ac:dyDescent="0.3">
      <c r="A1502" s="13" t="str">
        <f>MID(Indicadores[[#This Row],[CIIU]],2,4)</f>
        <v>4662</v>
      </c>
      <c r="B1502" s="13" t="str">
        <f>Indicadores[[#This Row],[CIIU]]&amp;Indicadores[[#This Row],[Año]]</f>
        <v>G46622019</v>
      </c>
      <c r="C1502" s="845" t="s">
        <v>2803</v>
      </c>
      <c r="D1502" s="845" t="s">
        <v>2823</v>
      </c>
      <c r="E1502" s="843">
        <v>2019</v>
      </c>
      <c r="F1502" s="844" t="s">
        <v>2869</v>
      </c>
      <c r="G1502" s="842" t="s">
        <v>2870</v>
      </c>
      <c r="H1502" s="843" t="s">
        <v>2871</v>
      </c>
      <c r="I1502" s="842" t="s">
        <v>2870</v>
      </c>
      <c r="J1502" s="840">
        <v>51852470</v>
      </c>
      <c r="K1502" s="840">
        <v>57184130</v>
      </c>
      <c r="L1502" s="841">
        <v>629160467</v>
      </c>
      <c r="M1502" s="840">
        <v>2057238108</v>
      </c>
      <c r="N1502" s="839">
        <f>Indicadores[[#This Row],[Ventas]]/Indicadores[[#This Row],[Activos totales]]</f>
        <v>3.269814643328504</v>
      </c>
      <c r="O1502" s="837">
        <f>IF(Indicadores[[#This Row],[Ventas]]=0,0,Indicadores[[#This Row],[EBITDA]]/Indicadores[[#This Row],[Ventas]])</f>
        <v>2.7796553922284237E-2</v>
      </c>
      <c r="P1502" s="837">
        <f>IF(Indicadores[[#This Row],[Ventas]]=0,0,Indicadores[[#This Row],[UAI]]/Indicadores[[#This Row],[Ventas]])</f>
        <v>2.520489475591612E-2</v>
      </c>
      <c r="Q1502" s="837">
        <f>IFERROR(Indicadores[[#This Row],[Ventas]]/Indicadores[[#This Row],[Activos totales]],0)</f>
        <v>3.269814643328504</v>
      </c>
    </row>
    <row r="1503" spans="1:17" hidden="1" x14ac:dyDescent="0.3">
      <c r="A1503" s="13" t="str">
        <f>MID(Indicadores[[#This Row],[CIIU]],2,4)</f>
        <v>4663</v>
      </c>
      <c r="B1503" s="13" t="str">
        <f>Indicadores[[#This Row],[CIIU]]&amp;Indicadores[[#This Row],[Año]]</f>
        <v>G46632019</v>
      </c>
      <c r="C1503" s="845" t="s">
        <v>2803</v>
      </c>
      <c r="D1503" s="845" t="s">
        <v>2823</v>
      </c>
      <c r="E1503" s="843">
        <v>2019</v>
      </c>
      <c r="F1503" s="844" t="s">
        <v>2872</v>
      </c>
      <c r="G1503" s="842" t="s">
        <v>2873</v>
      </c>
      <c r="H1503" s="843" t="s">
        <v>2874</v>
      </c>
      <c r="I1503" s="842" t="s">
        <v>2873</v>
      </c>
      <c r="J1503" s="840">
        <v>370400238</v>
      </c>
      <c r="K1503" s="840">
        <v>480829383</v>
      </c>
      <c r="L1503" s="841">
        <v>8812706786</v>
      </c>
      <c r="M1503" s="840">
        <v>12221744446</v>
      </c>
      <c r="N1503" s="839">
        <f>Indicadores[[#This Row],[Ventas]]/Indicadores[[#This Row],[Activos totales]]</f>
        <v>1.3868320758629629</v>
      </c>
      <c r="O1503" s="837">
        <f>IF(Indicadores[[#This Row],[Ventas]]=0,0,Indicadores[[#This Row],[EBITDA]]/Indicadores[[#This Row],[Ventas]])</f>
        <v>3.9342123796195762E-2</v>
      </c>
      <c r="P1503" s="837">
        <f>IF(Indicadores[[#This Row],[Ventas]]=0,0,Indicadores[[#This Row],[UAI]]/Indicadores[[#This Row],[Ventas]])</f>
        <v>3.0306658729165839E-2</v>
      </c>
      <c r="Q1503" s="837">
        <f>IFERROR(Indicadores[[#This Row],[Ventas]]/Indicadores[[#This Row],[Activos totales]],0)</f>
        <v>1.3868320758629629</v>
      </c>
    </row>
    <row r="1504" spans="1:17" hidden="1" x14ac:dyDescent="0.3">
      <c r="A1504" s="13" t="str">
        <f>MID(Indicadores[[#This Row],[CIIU]],2,4)</f>
        <v>4664</v>
      </c>
      <c r="B1504" s="13" t="str">
        <f>Indicadores[[#This Row],[CIIU]]&amp;Indicadores[[#This Row],[Año]]</f>
        <v>G46642019</v>
      </c>
      <c r="C1504" s="845" t="s">
        <v>2803</v>
      </c>
      <c r="D1504" s="845" t="s">
        <v>2823</v>
      </c>
      <c r="E1504" s="843">
        <v>2019</v>
      </c>
      <c r="F1504" s="844" t="s">
        <v>2875</v>
      </c>
      <c r="G1504" s="842" t="s">
        <v>2876</v>
      </c>
      <c r="H1504" s="843" t="s">
        <v>2877</v>
      </c>
      <c r="I1504" s="842" t="s">
        <v>2876</v>
      </c>
      <c r="J1504" s="840">
        <v>356626190</v>
      </c>
      <c r="K1504" s="840">
        <v>427475788</v>
      </c>
      <c r="L1504" s="841">
        <v>6433542003</v>
      </c>
      <c r="M1504" s="840">
        <v>8960975611</v>
      </c>
      <c r="N1504" s="839">
        <f>Indicadores[[#This Row],[Ventas]]/Indicadores[[#This Row],[Activos totales]]</f>
        <v>1.3928525852199989</v>
      </c>
      <c r="O1504" s="837">
        <f>IF(Indicadores[[#This Row],[Ventas]]=0,0,Indicadores[[#This Row],[EBITDA]]/Indicadores[[#This Row],[Ventas]])</f>
        <v>4.7704157064689952E-2</v>
      </c>
      <c r="P1504" s="837">
        <f>IF(Indicadores[[#This Row],[Ventas]]=0,0,Indicadores[[#This Row],[UAI]]/Indicadores[[#This Row],[Ventas]])</f>
        <v>3.9797696755498956E-2</v>
      </c>
      <c r="Q1504" s="837">
        <f>IFERROR(Indicadores[[#This Row],[Ventas]]/Indicadores[[#This Row],[Activos totales]],0)</f>
        <v>1.3928525852199989</v>
      </c>
    </row>
    <row r="1505" spans="1:17" hidden="1" x14ac:dyDescent="0.3">
      <c r="A1505" s="13" t="str">
        <f>MID(Indicadores[[#This Row],[CIIU]],2,4)</f>
        <v>4665</v>
      </c>
      <c r="B1505" s="13" t="str">
        <f>Indicadores[[#This Row],[CIIU]]&amp;Indicadores[[#This Row],[Año]]</f>
        <v>G46652019</v>
      </c>
      <c r="C1505" s="845" t="s">
        <v>2803</v>
      </c>
      <c r="D1505" s="845" t="s">
        <v>2823</v>
      </c>
      <c r="E1505" s="843">
        <v>2019</v>
      </c>
      <c r="F1505" s="844" t="s">
        <v>2878</v>
      </c>
      <c r="G1505" s="842" t="s">
        <v>2879</v>
      </c>
      <c r="H1505" s="843" t="s">
        <v>2880</v>
      </c>
      <c r="I1505" s="842" t="s">
        <v>2879</v>
      </c>
      <c r="J1505" s="840">
        <v>44251065</v>
      </c>
      <c r="K1505" s="840">
        <v>54990657</v>
      </c>
      <c r="L1505" s="841">
        <v>462650597</v>
      </c>
      <c r="M1505" s="840">
        <v>753800710</v>
      </c>
      <c r="N1505" s="839">
        <f>Indicadores[[#This Row],[Ventas]]/Indicadores[[#This Row],[Activos totales]]</f>
        <v>1.6293088453531164</v>
      </c>
      <c r="O1505" s="837">
        <f>IF(Indicadores[[#This Row],[Ventas]]=0,0,Indicadores[[#This Row],[EBITDA]]/Indicadores[[#This Row],[Ventas]])</f>
        <v>7.2951187589091027E-2</v>
      </c>
      <c r="P1505" s="837">
        <f>IF(Indicadores[[#This Row],[Ventas]]=0,0,Indicadores[[#This Row],[UAI]]/Indicadores[[#This Row],[Ventas]])</f>
        <v>5.8703931175655165E-2</v>
      </c>
      <c r="Q1505" s="837">
        <f>IFERROR(Indicadores[[#This Row],[Ventas]]/Indicadores[[#This Row],[Activos totales]],0)</f>
        <v>1.6293088453531164</v>
      </c>
    </row>
    <row r="1506" spans="1:17" hidden="1" x14ac:dyDescent="0.3">
      <c r="A1506" s="13" t="str">
        <f>MID(Indicadores[[#This Row],[CIIU]],2,4)</f>
        <v>4669</v>
      </c>
      <c r="B1506" s="13" t="str">
        <f>Indicadores[[#This Row],[CIIU]]&amp;Indicadores[[#This Row],[Año]]</f>
        <v>G46692019</v>
      </c>
      <c r="C1506" s="845" t="s">
        <v>2803</v>
      </c>
      <c r="D1506" s="845" t="s">
        <v>2823</v>
      </c>
      <c r="E1506" s="843">
        <v>2019</v>
      </c>
      <c r="F1506" s="844" t="s">
        <v>2881</v>
      </c>
      <c r="G1506" s="842" t="s">
        <v>2882</v>
      </c>
      <c r="H1506" s="843" t="s">
        <v>2883</v>
      </c>
      <c r="I1506" s="842" t="s">
        <v>2882</v>
      </c>
      <c r="J1506" s="840">
        <v>451602408</v>
      </c>
      <c r="K1506" s="840">
        <v>543810540</v>
      </c>
      <c r="L1506" s="841">
        <v>7545685020</v>
      </c>
      <c r="M1506" s="840">
        <v>8842923840</v>
      </c>
      <c r="N1506" s="839">
        <f>Indicadores[[#This Row],[Ventas]]/Indicadores[[#This Row],[Activos totales]]</f>
        <v>1.1719179659052348</v>
      </c>
      <c r="O1506" s="837">
        <f>IF(Indicadores[[#This Row],[Ventas]]=0,0,Indicadores[[#This Row],[EBITDA]]/Indicadores[[#This Row],[Ventas]])</f>
        <v>6.1496689312208301E-2</v>
      </c>
      <c r="P1506" s="837">
        <f>IF(Indicadores[[#This Row],[Ventas]]=0,0,Indicadores[[#This Row],[UAI]]/Indicadores[[#This Row],[Ventas]])</f>
        <v>5.1069354002261765E-2</v>
      </c>
      <c r="Q1506" s="837">
        <f>IFERROR(Indicadores[[#This Row],[Ventas]]/Indicadores[[#This Row],[Activos totales]],0)</f>
        <v>1.1719179659052348</v>
      </c>
    </row>
    <row r="1507" spans="1:17" hidden="1" x14ac:dyDescent="0.3">
      <c r="A1507" s="13" t="str">
        <f>MID(Indicadores[[#This Row],[CIIU]],2,4)</f>
        <v>4690</v>
      </c>
      <c r="B1507" s="13" t="str">
        <f>Indicadores[[#This Row],[CIIU]]&amp;Indicadores[[#This Row],[Año]]</f>
        <v>G46902019</v>
      </c>
      <c r="C1507" s="845" t="s">
        <v>2803</v>
      </c>
      <c r="D1507" s="845" t="s">
        <v>2823</v>
      </c>
      <c r="E1507" s="843">
        <v>2019</v>
      </c>
      <c r="F1507" s="844" t="s">
        <v>2884</v>
      </c>
      <c r="G1507" s="842" t="s">
        <v>2885</v>
      </c>
      <c r="H1507" s="843" t="s">
        <v>2886</v>
      </c>
      <c r="I1507" s="842" t="s">
        <v>2885</v>
      </c>
      <c r="J1507" s="840">
        <v>407071686</v>
      </c>
      <c r="K1507" s="840">
        <v>648071936</v>
      </c>
      <c r="L1507" s="841">
        <v>9169397096</v>
      </c>
      <c r="M1507" s="840">
        <v>12558216502</v>
      </c>
      <c r="N1507" s="839">
        <f>Indicadores[[#This Row],[Ventas]]/Indicadores[[#This Row],[Activos totales]]</f>
        <v>1.3695793049990515</v>
      </c>
      <c r="O1507" s="837">
        <f>IF(Indicadores[[#This Row],[Ventas]]=0,0,Indicadores[[#This Row],[EBITDA]]/Indicadores[[#This Row],[Ventas]])</f>
        <v>5.1605411954539021E-2</v>
      </c>
      <c r="P1507" s="837">
        <f>IF(Indicadores[[#This Row],[Ventas]]=0,0,Indicadores[[#This Row],[UAI]]/Indicadores[[#This Row],[Ventas]])</f>
        <v>3.2414768923212184E-2</v>
      </c>
      <c r="Q1507" s="837">
        <f>IFERROR(Indicadores[[#This Row],[Ventas]]/Indicadores[[#This Row],[Activos totales]],0)</f>
        <v>1.3695793049990515</v>
      </c>
    </row>
    <row r="1508" spans="1:17" hidden="1" x14ac:dyDescent="0.3">
      <c r="A1508" s="13" t="str">
        <f>MID(Indicadores[[#This Row],[CIIU]],2,4)</f>
        <v>4711</v>
      </c>
      <c r="B1508" s="13" t="str">
        <f>Indicadores[[#This Row],[CIIU]]&amp;Indicadores[[#This Row],[Año]]</f>
        <v>G47112019</v>
      </c>
      <c r="C1508" s="845" t="s">
        <v>2803</v>
      </c>
      <c r="D1508" s="845" t="s">
        <v>2887</v>
      </c>
      <c r="E1508" s="843">
        <v>2019</v>
      </c>
      <c r="F1508" s="844" t="s">
        <v>2888</v>
      </c>
      <c r="G1508" s="842" t="s">
        <v>2889</v>
      </c>
      <c r="H1508" s="843" t="s">
        <v>2890</v>
      </c>
      <c r="I1508" s="842" t="s">
        <v>2889</v>
      </c>
      <c r="J1508" s="840">
        <v>-566909542</v>
      </c>
      <c r="K1508" s="840">
        <v>417916087</v>
      </c>
      <c r="L1508" s="841">
        <v>22293420163</v>
      </c>
      <c r="M1508" s="840">
        <v>31641074099</v>
      </c>
      <c r="N1508" s="839">
        <f>Indicadores[[#This Row],[Ventas]]/Indicadores[[#This Row],[Activos totales]]</f>
        <v>1.4193010254888632</v>
      </c>
      <c r="O1508" s="837">
        <f>IF(Indicadores[[#This Row],[Ventas]]=0,0,Indicadores[[#This Row],[EBITDA]]/Indicadores[[#This Row],[Ventas]])</f>
        <v>1.3208024660996196E-2</v>
      </c>
      <c r="P1508" s="837">
        <f>IF(Indicadores[[#This Row],[Ventas]]=0,0,Indicadores[[#This Row],[UAI]]/Indicadores[[#This Row],[Ventas]])</f>
        <v>-1.7916886772750766E-2</v>
      </c>
      <c r="Q1508" s="837">
        <f>IFERROR(Indicadores[[#This Row],[Ventas]]/Indicadores[[#This Row],[Activos totales]],0)</f>
        <v>1.4193010254888632</v>
      </c>
    </row>
    <row r="1509" spans="1:17" hidden="1" x14ac:dyDescent="0.3">
      <c r="A1509" s="13" t="str">
        <f>MID(Indicadores[[#This Row],[CIIU]],2,4)</f>
        <v>4719</v>
      </c>
      <c r="B1509" s="13" t="str">
        <f>Indicadores[[#This Row],[CIIU]]&amp;Indicadores[[#This Row],[Año]]</f>
        <v>G47192019</v>
      </c>
      <c r="C1509" s="845" t="s">
        <v>2803</v>
      </c>
      <c r="D1509" s="845" t="s">
        <v>2887</v>
      </c>
      <c r="E1509" s="843">
        <v>2019</v>
      </c>
      <c r="F1509" s="844" t="s">
        <v>2891</v>
      </c>
      <c r="G1509" s="842" t="s">
        <v>2892</v>
      </c>
      <c r="H1509" s="843" t="s">
        <v>2893</v>
      </c>
      <c r="I1509" s="842" t="s">
        <v>2892</v>
      </c>
      <c r="J1509" s="840">
        <v>386216970</v>
      </c>
      <c r="K1509" s="840">
        <v>615030590</v>
      </c>
      <c r="L1509" s="841">
        <v>7234980179</v>
      </c>
      <c r="M1509" s="840">
        <v>10901531309</v>
      </c>
      <c r="N1509" s="839">
        <f>Indicadores[[#This Row],[Ventas]]/Indicadores[[#This Row],[Activos totales]]</f>
        <v>1.5067810884461581</v>
      </c>
      <c r="O1509" s="837">
        <f>IF(Indicadores[[#This Row],[Ventas]]=0,0,Indicadores[[#This Row],[EBITDA]]/Indicadores[[#This Row],[Ventas]])</f>
        <v>5.6416898926139665E-2</v>
      </c>
      <c r="P1509" s="837">
        <f>IF(Indicadores[[#This Row],[Ventas]]=0,0,Indicadores[[#This Row],[UAI]]/Indicadores[[#This Row],[Ventas]])</f>
        <v>3.5427772397548414E-2</v>
      </c>
      <c r="Q1509" s="837">
        <f>IFERROR(Indicadores[[#This Row],[Ventas]]/Indicadores[[#This Row],[Activos totales]],0)</f>
        <v>1.5067810884461581</v>
      </c>
    </row>
    <row r="1510" spans="1:17" hidden="1" x14ac:dyDescent="0.3">
      <c r="A1510" s="13" t="str">
        <f>MID(Indicadores[[#This Row],[CIIU]],2,4)</f>
        <v>4721</v>
      </c>
      <c r="B1510" s="13" t="str">
        <f>Indicadores[[#This Row],[CIIU]]&amp;Indicadores[[#This Row],[Año]]</f>
        <v>G47212019</v>
      </c>
      <c r="C1510" s="845" t="s">
        <v>2803</v>
      </c>
      <c r="D1510" s="845" t="s">
        <v>2887</v>
      </c>
      <c r="E1510" s="843">
        <v>2019</v>
      </c>
      <c r="F1510" s="844" t="s">
        <v>2894</v>
      </c>
      <c r="G1510" s="842" t="s">
        <v>2895</v>
      </c>
      <c r="H1510" s="843" t="s">
        <v>2896</v>
      </c>
      <c r="I1510" s="842" t="s">
        <v>2895</v>
      </c>
      <c r="J1510" s="840">
        <v>17149957</v>
      </c>
      <c r="K1510" s="840">
        <v>19109317</v>
      </c>
      <c r="L1510" s="841">
        <v>291526871</v>
      </c>
      <c r="M1510" s="840">
        <v>330765795</v>
      </c>
      <c r="N1510" s="839">
        <f>Indicadores[[#This Row],[Ventas]]/Indicadores[[#This Row],[Activos totales]]</f>
        <v>1.1345979664426886</v>
      </c>
      <c r="O1510" s="837">
        <f>IF(Indicadores[[#This Row],[Ventas]]=0,0,Indicadores[[#This Row],[EBITDA]]/Indicadores[[#This Row],[Ventas]])</f>
        <v>5.7772953820693584E-2</v>
      </c>
      <c r="P1510" s="837">
        <f>IF(Indicadores[[#This Row],[Ventas]]=0,0,Indicadores[[#This Row],[UAI]]/Indicadores[[#This Row],[Ventas]])</f>
        <v>5.1849245778270395E-2</v>
      </c>
      <c r="Q1510" s="837">
        <f>IFERROR(Indicadores[[#This Row],[Ventas]]/Indicadores[[#This Row],[Activos totales]],0)</f>
        <v>1.1345979664426886</v>
      </c>
    </row>
    <row r="1511" spans="1:17" hidden="1" x14ac:dyDescent="0.3">
      <c r="A1511" s="13" t="str">
        <f>MID(Indicadores[[#This Row],[CIIU]],2,4)</f>
        <v>4722</v>
      </c>
      <c r="B1511" s="13" t="str">
        <f>Indicadores[[#This Row],[CIIU]]&amp;Indicadores[[#This Row],[Año]]</f>
        <v>G47222019</v>
      </c>
      <c r="C1511" s="845" t="s">
        <v>2803</v>
      </c>
      <c r="D1511" s="845" t="s">
        <v>2887</v>
      </c>
      <c r="E1511" s="843">
        <v>2019</v>
      </c>
      <c r="F1511" s="844" t="s">
        <v>2897</v>
      </c>
      <c r="G1511" s="842" t="s">
        <v>2898</v>
      </c>
      <c r="H1511" s="843" t="s">
        <v>2899</v>
      </c>
      <c r="I1511" s="842" t="s">
        <v>2898</v>
      </c>
      <c r="J1511" s="840">
        <v>2212533</v>
      </c>
      <c r="K1511" s="840">
        <v>3422338</v>
      </c>
      <c r="L1511" s="841">
        <v>78305577</v>
      </c>
      <c r="M1511" s="840">
        <v>294728752</v>
      </c>
      <c r="N1511" s="839">
        <f>Indicadores[[#This Row],[Ventas]]/Indicadores[[#This Row],[Activos totales]]</f>
        <v>3.7638283669118486</v>
      </c>
      <c r="O1511" s="837">
        <f>IF(Indicadores[[#This Row],[Ventas]]=0,0,Indicadores[[#This Row],[EBITDA]]/Indicadores[[#This Row],[Ventas]])</f>
        <v>1.1611822656515032E-2</v>
      </c>
      <c r="P1511" s="837">
        <f>IF(Indicadores[[#This Row],[Ventas]]=0,0,Indicadores[[#This Row],[UAI]]/Indicadores[[#This Row],[Ventas]])</f>
        <v>7.5070144496794805E-3</v>
      </c>
      <c r="Q1511" s="837">
        <f>IFERROR(Indicadores[[#This Row],[Ventas]]/Indicadores[[#This Row],[Activos totales]],0)</f>
        <v>3.7638283669118486</v>
      </c>
    </row>
    <row r="1512" spans="1:17" hidden="1" x14ac:dyDescent="0.3">
      <c r="A1512" s="13" t="str">
        <f>MID(Indicadores[[#This Row],[CIIU]],2,4)</f>
        <v>4723</v>
      </c>
      <c r="B1512" s="13" t="str">
        <f>Indicadores[[#This Row],[CIIU]]&amp;Indicadores[[#This Row],[Año]]</f>
        <v>G47232019</v>
      </c>
      <c r="C1512" s="845" t="s">
        <v>2803</v>
      </c>
      <c r="D1512" s="845" t="s">
        <v>2887</v>
      </c>
      <c r="E1512" s="843">
        <v>2019</v>
      </c>
      <c r="F1512" s="844" t="s">
        <v>2900</v>
      </c>
      <c r="G1512" s="842" t="s">
        <v>2901</v>
      </c>
      <c r="H1512" s="843" t="s">
        <v>2902</v>
      </c>
      <c r="I1512" s="842" t="s">
        <v>2901</v>
      </c>
      <c r="J1512" s="840">
        <v>45438159</v>
      </c>
      <c r="K1512" s="840">
        <v>68132896</v>
      </c>
      <c r="L1512" s="841">
        <v>670602373</v>
      </c>
      <c r="M1512" s="840">
        <v>1635519407</v>
      </c>
      <c r="N1512" s="839">
        <f>Indicadores[[#This Row],[Ventas]]/Indicadores[[#This Row],[Activos totales]]</f>
        <v>2.4388810312187785</v>
      </c>
      <c r="O1512" s="837">
        <f>IF(Indicadores[[#This Row],[Ventas]]=0,0,Indicadores[[#This Row],[EBITDA]]/Indicadores[[#This Row],[Ventas]])</f>
        <v>4.165826202268965E-2</v>
      </c>
      <c r="P1512" s="837">
        <f>IF(Indicadores[[#This Row],[Ventas]]=0,0,Indicadores[[#This Row],[UAI]]/Indicadores[[#This Row],[Ventas]])</f>
        <v>2.7782097115769656E-2</v>
      </c>
      <c r="Q1512" s="837">
        <f>IFERROR(Indicadores[[#This Row],[Ventas]]/Indicadores[[#This Row],[Activos totales]],0)</f>
        <v>2.4388810312187785</v>
      </c>
    </row>
    <row r="1513" spans="1:17" hidden="1" x14ac:dyDescent="0.3">
      <c r="A1513" s="13" t="str">
        <f>MID(Indicadores[[#This Row],[CIIU]],2,4)</f>
        <v>4724</v>
      </c>
      <c r="B1513" s="13" t="str">
        <f>Indicadores[[#This Row],[CIIU]]&amp;Indicadores[[#This Row],[Año]]</f>
        <v>G47242019</v>
      </c>
      <c r="C1513" s="845" t="s">
        <v>2803</v>
      </c>
      <c r="D1513" s="845" t="s">
        <v>2887</v>
      </c>
      <c r="E1513" s="843">
        <v>2019</v>
      </c>
      <c r="F1513" s="844" t="s">
        <v>2903</v>
      </c>
      <c r="G1513" s="842" t="s">
        <v>2904</v>
      </c>
      <c r="H1513" s="843" t="s">
        <v>2905</v>
      </c>
      <c r="I1513" s="842" t="s">
        <v>2904</v>
      </c>
      <c r="J1513" s="840">
        <v>17942603</v>
      </c>
      <c r="K1513" s="840">
        <v>19439346</v>
      </c>
      <c r="L1513" s="841">
        <v>198197276</v>
      </c>
      <c r="M1513" s="840">
        <v>401612644</v>
      </c>
      <c r="N1513" s="839">
        <f>Indicadores[[#This Row],[Ventas]]/Indicadores[[#This Row],[Activos totales]]</f>
        <v>2.0263277685007135</v>
      </c>
      <c r="O1513" s="837">
        <f>IF(Indicadores[[#This Row],[Ventas]]=0,0,Indicadores[[#This Row],[EBITDA]]/Indicadores[[#This Row],[Ventas]])</f>
        <v>4.8403222085806642E-2</v>
      </c>
      <c r="P1513" s="837">
        <f>IF(Indicadores[[#This Row],[Ventas]]=0,0,Indicadores[[#This Row],[UAI]]/Indicadores[[#This Row],[Ventas]])</f>
        <v>4.4676389720439177E-2</v>
      </c>
      <c r="Q1513" s="837">
        <f>IFERROR(Indicadores[[#This Row],[Ventas]]/Indicadores[[#This Row],[Activos totales]],0)</f>
        <v>2.0263277685007135</v>
      </c>
    </row>
    <row r="1514" spans="1:17" hidden="1" x14ac:dyDescent="0.3">
      <c r="A1514" s="13" t="str">
        <f>MID(Indicadores[[#This Row],[CIIU]],2,4)</f>
        <v>4729</v>
      </c>
      <c r="B1514" s="13" t="str">
        <f>Indicadores[[#This Row],[CIIU]]&amp;Indicadores[[#This Row],[Año]]</f>
        <v>G47292019</v>
      </c>
      <c r="C1514" s="845" t="s">
        <v>2803</v>
      </c>
      <c r="D1514" s="845" t="s">
        <v>2887</v>
      </c>
      <c r="E1514" s="843">
        <v>2019</v>
      </c>
      <c r="F1514" s="844" t="s">
        <v>2906</v>
      </c>
      <c r="G1514" s="842" t="s">
        <v>2907</v>
      </c>
      <c r="H1514" s="843" t="s">
        <v>2908</v>
      </c>
      <c r="I1514" s="842" t="s">
        <v>2907</v>
      </c>
      <c r="J1514" s="840">
        <v>50787024</v>
      </c>
      <c r="K1514" s="840">
        <v>66665406</v>
      </c>
      <c r="L1514" s="841">
        <v>730922148</v>
      </c>
      <c r="M1514" s="840">
        <v>1397665970</v>
      </c>
      <c r="N1514" s="839">
        <f>Indicadores[[#This Row],[Ventas]]/Indicadores[[#This Row],[Activos totales]]</f>
        <v>1.9121954011441449</v>
      </c>
      <c r="O1514" s="837">
        <f>IF(Indicadores[[#This Row],[Ventas]]=0,0,Indicadores[[#This Row],[EBITDA]]/Indicadores[[#This Row],[Ventas]])</f>
        <v>4.7697666989774387E-2</v>
      </c>
      <c r="P1514" s="837">
        <f>IF(Indicadores[[#This Row],[Ventas]]=0,0,Indicadores[[#This Row],[UAI]]/Indicadores[[#This Row],[Ventas]])</f>
        <v>3.6337025505457504E-2</v>
      </c>
      <c r="Q1514" s="837">
        <f>IFERROR(Indicadores[[#This Row],[Ventas]]/Indicadores[[#This Row],[Activos totales]],0)</f>
        <v>1.9121954011441449</v>
      </c>
    </row>
    <row r="1515" spans="1:17" hidden="1" x14ac:dyDescent="0.3">
      <c r="A1515" s="13" t="str">
        <f>MID(Indicadores[[#This Row],[CIIU]],2,4)</f>
        <v>4731</v>
      </c>
      <c r="B1515" s="13" t="str">
        <f>Indicadores[[#This Row],[CIIU]]&amp;Indicadores[[#This Row],[Año]]</f>
        <v>G47312019</v>
      </c>
      <c r="C1515" s="845" t="s">
        <v>2803</v>
      </c>
      <c r="D1515" s="845" t="s">
        <v>2887</v>
      </c>
      <c r="E1515" s="843">
        <v>2019</v>
      </c>
      <c r="F1515" s="844" t="s">
        <v>2909</v>
      </c>
      <c r="G1515" s="842" t="s">
        <v>2910</v>
      </c>
      <c r="H1515" s="843" t="s">
        <v>2911</v>
      </c>
      <c r="I1515" s="842" t="s">
        <v>2910</v>
      </c>
      <c r="J1515" s="840">
        <v>227339101</v>
      </c>
      <c r="K1515" s="840">
        <v>309526091</v>
      </c>
      <c r="L1515" s="841">
        <v>5057971487</v>
      </c>
      <c r="M1515" s="840">
        <v>12848312500</v>
      </c>
      <c r="N1515" s="839">
        <f>Indicadores[[#This Row],[Ventas]]/Indicadores[[#This Row],[Activos totales]]</f>
        <v>2.540210543500045</v>
      </c>
      <c r="O1515" s="837">
        <f>IF(Indicadores[[#This Row],[Ventas]]=0,0,Indicadores[[#This Row],[EBITDA]]/Indicadores[[#This Row],[Ventas]])</f>
        <v>2.4090797215587649E-2</v>
      </c>
      <c r="P1515" s="837">
        <f>IF(Indicadores[[#This Row],[Ventas]]=0,0,Indicadores[[#This Row],[UAI]]/Indicadores[[#This Row],[Ventas]])</f>
        <v>1.7694082471919951E-2</v>
      </c>
      <c r="Q1515" s="837">
        <f>IFERROR(Indicadores[[#This Row],[Ventas]]/Indicadores[[#This Row],[Activos totales]],0)</f>
        <v>2.540210543500045</v>
      </c>
    </row>
    <row r="1516" spans="1:17" hidden="1" x14ac:dyDescent="0.3">
      <c r="A1516" s="13" t="str">
        <f>MID(Indicadores[[#This Row],[CIIU]],2,4)</f>
        <v>4732</v>
      </c>
      <c r="B1516" s="13" t="str">
        <f>Indicadores[[#This Row],[CIIU]]&amp;Indicadores[[#This Row],[Año]]</f>
        <v>G47322019</v>
      </c>
      <c r="C1516" s="845" t="s">
        <v>2803</v>
      </c>
      <c r="D1516" s="845" t="s">
        <v>2887</v>
      </c>
      <c r="E1516" s="843">
        <v>2019</v>
      </c>
      <c r="F1516" s="844" t="s">
        <v>2912</v>
      </c>
      <c r="G1516" s="842" t="s">
        <v>2913</v>
      </c>
      <c r="H1516" s="843" t="s">
        <v>2914</v>
      </c>
      <c r="I1516" s="842" t="s">
        <v>2913</v>
      </c>
      <c r="J1516" s="840">
        <v>34734849</v>
      </c>
      <c r="K1516" s="840">
        <v>40030537</v>
      </c>
      <c r="L1516" s="841">
        <v>541219255</v>
      </c>
      <c r="M1516" s="840">
        <v>855151161</v>
      </c>
      <c r="N1516" s="839">
        <f>Indicadores[[#This Row],[Ventas]]/Indicadores[[#This Row],[Activos totales]]</f>
        <v>1.5800457080929244</v>
      </c>
      <c r="O1516" s="837">
        <f>IF(Indicadores[[#This Row],[Ventas]]=0,0,Indicadores[[#This Row],[EBITDA]]/Indicadores[[#This Row],[Ventas]])</f>
        <v>4.6811065488338847E-2</v>
      </c>
      <c r="P1516" s="837">
        <f>IF(Indicadores[[#This Row],[Ventas]]=0,0,Indicadores[[#This Row],[UAI]]/Indicadores[[#This Row],[Ventas]])</f>
        <v>4.0618373200103738E-2</v>
      </c>
      <c r="Q1516" s="837">
        <f>IFERROR(Indicadores[[#This Row],[Ventas]]/Indicadores[[#This Row],[Activos totales]],0)</f>
        <v>1.5800457080929244</v>
      </c>
    </row>
    <row r="1517" spans="1:17" hidden="1" x14ac:dyDescent="0.3">
      <c r="A1517" s="13" t="str">
        <f>MID(Indicadores[[#This Row],[CIIU]],2,4)</f>
        <v>4741</v>
      </c>
      <c r="B1517" s="13" t="str">
        <f>Indicadores[[#This Row],[CIIU]]&amp;Indicadores[[#This Row],[Año]]</f>
        <v>G47412019</v>
      </c>
      <c r="C1517" s="845" t="s">
        <v>2803</v>
      </c>
      <c r="D1517" s="845" t="s">
        <v>2887</v>
      </c>
      <c r="E1517" s="843">
        <v>2019</v>
      </c>
      <c r="F1517" s="844" t="s">
        <v>2915</v>
      </c>
      <c r="G1517" s="842" t="s">
        <v>2916</v>
      </c>
      <c r="H1517" s="843" t="s">
        <v>2917</v>
      </c>
      <c r="I1517" s="842" t="s">
        <v>2916</v>
      </c>
      <c r="J1517" s="840">
        <v>92694147</v>
      </c>
      <c r="K1517" s="840">
        <v>130427815</v>
      </c>
      <c r="L1517" s="841">
        <v>1398947496</v>
      </c>
      <c r="M1517" s="840">
        <v>2683996040</v>
      </c>
      <c r="N1517" s="839">
        <f>Indicadores[[#This Row],[Ventas]]/Indicadores[[#This Row],[Activos totales]]</f>
        <v>1.9185823968907552</v>
      </c>
      <c r="O1517" s="837">
        <f>IF(Indicadores[[#This Row],[Ventas]]=0,0,Indicadores[[#This Row],[EBITDA]]/Indicadores[[#This Row],[Ventas]])</f>
        <v>4.8594637643355094E-2</v>
      </c>
      <c r="P1517" s="837">
        <f>IF(Indicadores[[#This Row],[Ventas]]=0,0,Indicadores[[#This Row],[UAI]]/Indicadores[[#This Row],[Ventas]])</f>
        <v>3.4535873234745905E-2</v>
      </c>
      <c r="Q1517" s="837">
        <f>IFERROR(Indicadores[[#This Row],[Ventas]]/Indicadores[[#This Row],[Activos totales]],0)</f>
        <v>1.9185823968907552</v>
      </c>
    </row>
    <row r="1518" spans="1:17" hidden="1" x14ac:dyDescent="0.3">
      <c r="A1518" s="13" t="str">
        <f>MID(Indicadores[[#This Row],[CIIU]],2,4)</f>
        <v>4742</v>
      </c>
      <c r="B1518" s="13" t="str">
        <f>Indicadores[[#This Row],[CIIU]]&amp;Indicadores[[#This Row],[Año]]</f>
        <v>G47422019</v>
      </c>
      <c r="C1518" s="845" t="s">
        <v>2803</v>
      </c>
      <c r="D1518" s="845" t="s">
        <v>2887</v>
      </c>
      <c r="E1518" s="843">
        <v>2019</v>
      </c>
      <c r="F1518" s="844" t="s">
        <v>2918</v>
      </c>
      <c r="G1518" s="842" t="s">
        <v>2919</v>
      </c>
      <c r="H1518" s="843" t="s">
        <v>2920</v>
      </c>
      <c r="I1518" s="842" t="s">
        <v>2919</v>
      </c>
      <c r="J1518" s="840">
        <v>22290528</v>
      </c>
      <c r="K1518" s="840">
        <v>23683366</v>
      </c>
      <c r="L1518" s="841">
        <v>137349802</v>
      </c>
      <c r="M1518" s="840">
        <v>191797516</v>
      </c>
      <c r="N1518" s="839">
        <f>Indicadores[[#This Row],[Ventas]]/Indicadores[[#This Row],[Activos totales]]</f>
        <v>1.3964163996392218</v>
      </c>
      <c r="O1518" s="837">
        <f>IF(Indicadores[[#This Row],[Ventas]]=0,0,Indicadores[[#This Row],[EBITDA]]/Indicadores[[#This Row],[Ventas]])</f>
        <v>0.12348108825351002</v>
      </c>
      <c r="P1518" s="837">
        <f>IF(Indicadores[[#This Row],[Ventas]]=0,0,Indicadores[[#This Row],[UAI]]/Indicadores[[#This Row],[Ventas]])</f>
        <v>0.11621906511031144</v>
      </c>
      <c r="Q1518" s="837">
        <f>IFERROR(Indicadores[[#This Row],[Ventas]]/Indicadores[[#This Row],[Activos totales]],0)</f>
        <v>1.3964163996392218</v>
      </c>
    </row>
    <row r="1519" spans="1:17" hidden="1" x14ac:dyDescent="0.3">
      <c r="A1519" s="13" t="str">
        <f>MID(Indicadores[[#This Row],[CIIU]],2,4)</f>
        <v>4751</v>
      </c>
      <c r="B1519" s="13" t="str">
        <f>Indicadores[[#This Row],[CIIU]]&amp;Indicadores[[#This Row],[Año]]</f>
        <v>G47512019</v>
      </c>
      <c r="C1519" s="845" t="s">
        <v>2803</v>
      </c>
      <c r="D1519" s="845" t="s">
        <v>2887</v>
      </c>
      <c r="E1519" s="843">
        <v>2019</v>
      </c>
      <c r="F1519" s="844" t="s">
        <v>2921</v>
      </c>
      <c r="G1519" s="842" t="s">
        <v>2922</v>
      </c>
      <c r="H1519" s="843" t="s">
        <v>2923</v>
      </c>
      <c r="I1519" s="842" t="s">
        <v>2922</v>
      </c>
      <c r="J1519" s="840">
        <v>31466147</v>
      </c>
      <c r="K1519" s="840">
        <v>46551682</v>
      </c>
      <c r="L1519" s="841">
        <v>617798391</v>
      </c>
      <c r="M1519" s="840">
        <v>609791128</v>
      </c>
      <c r="N1519" s="839">
        <f>Indicadores[[#This Row],[Ventas]]/Indicadores[[#This Row],[Activos totales]]</f>
        <v>0.98703903552251238</v>
      </c>
      <c r="O1519" s="837">
        <f>IF(Indicadores[[#This Row],[Ventas]]=0,0,Indicadores[[#This Row],[EBITDA]]/Indicadores[[#This Row],[Ventas]])</f>
        <v>7.6340372731693792E-2</v>
      </c>
      <c r="P1519" s="837">
        <f>IF(Indicadores[[#This Row],[Ventas]]=0,0,Indicadores[[#This Row],[UAI]]/Indicadores[[#This Row],[Ventas]])</f>
        <v>5.1601516577000774E-2</v>
      </c>
      <c r="Q1519" s="837">
        <f>IFERROR(Indicadores[[#This Row],[Ventas]]/Indicadores[[#This Row],[Activos totales]],0)</f>
        <v>0.98703903552251238</v>
      </c>
    </row>
    <row r="1520" spans="1:17" hidden="1" x14ac:dyDescent="0.3">
      <c r="A1520" s="13" t="str">
        <f>MID(Indicadores[[#This Row],[CIIU]],2,4)</f>
        <v>4752</v>
      </c>
      <c r="B1520" s="13" t="str">
        <f>Indicadores[[#This Row],[CIIU]]&amp;Indicadores[[#This Row],[Año]]</f>
        <v>G47522019</v>
      </c>
      <c r="C1520" s="845" t="s">
        <v>2803</v>
      </c>
      <c r="D1520" s="845" t="s">
        <v>2887</v>
      </c>
      <c r="E1520" s="843">
        <v>2019</v>
      </c>
      <c r="F1520" s="844" t="s">
        <v>2924</v>
      </c>
      <c r="G1520" s="842" t="s">
        <v>2925</v>
      </c>
      <c r="H1520" s="843" t="s">
        <v>2926</v>
      </c>
      <c r="I1520" s="842" t="s">
        <v>2925</v>
      </c>
      <c r="J1520" s="840">
        <v>200366067</v>
      </c>
      <c r="K1520" s="840">
        <v>240193211</v>
      </c>
      <c r="L1520" s="841">
        <v>2671266162</v>
      </c>
      <c r="M1520" s="840">
        <v>4086194662</v>
      </c>
      <c r="N1520" s="839">
        <f>Indicadores[[#This Row],[Ventas]]/Indicadores[[#This Row],[Activos totales]]</f>
        <v>1.5296845818391347</v>
      </c>
      <c r="O1520" s="837">
        <f>IF(Indicadores[[#This Row],[Ventas]]=0,0,Indicadores[[#This Row],[EBITDA]]/Indicadores[[#This Row],[Ventas]])</f>
        <v>5.8781636918500774E-2</v>
      </c>
      <c r="P1520" s="837">
        <f>IF(Indicadores[[#This Row],[Ventas]]=0,0,Indicadores[[#This Row],[UAI]]/Indicadores[[#This Row],[Ventas]])</f>
        <v>4.9034880512014135E-2</v>
      </c>
      <c r="Q1520" s="837">
        <f>IFERROR(Indicadores[[#This Row],[Ventas]]/Indicadores[[#This Row],[Activos totales]],0)</f>
        <v>1.5296845818391347</v>
      </c>
    </row>
    <row r="1521" spans="1:17" hidden="1" x14ac:dyDescent="0.3">
      <c r="A1521" s="13" t="str">
        <f>MID(Indicadores[[#This Row],[CIIU]],2,4)</f>
        <v>4753</v>
      </c>
      <c r="B1521" s="13" t="str">
        <f>Indicadores[[#This Row],[CIIU]]&amp;Indicadores[[#This Row],[Año]]</f>
        <v>G47532019</v>
      </c>
      <c r="C1521" s="845" t="s">
        <v>2803</v>
      </c>
      <c r="D1521" s="845" t="s">
        <v>2887</v>
      </c>
      <c r="E1521" s="843">
        <v>2019</v>
      </c>
      <c r="F1521" s="844" t="s">
        <v>2927</v>
      </c>
      <c r="G1521" s="842" t="s">
        <v>2928</v>
      </c>
      <c r="H1521" s="843" t="s">
        <v>2929</v>
      </c>
      <c r="I1521" s="842" t="s">
        <v>2928</v>
      </c>
      <c r="J1521" s="840">
        <v>-373303</v>
      </c>
      <c r="K1521" s="840">
        <v>-322404</v>
      </c>
      <c r="L1521" s="841">
        <v>11967711</v>
      </c>
      <c r="M1521" s="840">
        <v>13093925</v>
      </c>
      <c r="N1521" s="839">
        <f>Indicadores[[#This Row],[Ventas]]/Indicadores[[#This Row],[Activos totales]]</f>
        <v>1.0941043780218289</v>
      </c>
      <c r="O1521" s="837">
        <f>IF(Indicadores[[#This Row],[Ventas]]=0,0,Indicadores[[#This Row],[EBITDA]]/Indicadores[[#This Row],[Ventas]])</f>
        <v>-2.4622410774462204E-2</v>
      </c>
      <c r="P1521" s="837">
        <f>IF(Indicadores[[#This Row],[Ventas]]=0,0,Indicadores[[#This Row],[UAI]]/Indicadores[[#This Row],[Ventas]])</f>
        <v>-2.8509633284137491E-2</v>
      </c>
      <c r="Q1521" s="837">
        <f>IFERROR(Indicadores[[#This Row],[Ventas]]/Indicadores[[#This Row],[Activos totales]],0)</f>
        <v>1.0941043780218289</v>
      </c>
    </row>
    <row r="1522" spans="1:17" hidden="1" x14ac:dyDescent="0.3">
      <c r="A1522" s="13" t="str">
        <f>MID(Indicadores[[#This Row],[CIIU]],2,4)</f>
        <v>4754</v>
      </c>
      <c r="B1522" s="13" t="str">
        <f>Indicadores[[#This Row],[CIIU]]&amp;Indicadores[[#This Row],[Año]]</f>
        <v>G47542019</v>
      </c>
      <c r="C1522" s="845" t="s">
        <v>2803</v>
      </c>
      <c r="D1522" s="845" t="s">
        <v>2887</v>
      </c>
      <c r="E1522" s="843">
        <v>2019</v>
      </c>
      <c r="F1522" s="844" t="s">
        <v>2930</v>
      </c>
      <c r="G1522" s="842" t="s">
        <v>2931</v>
      </c>
      <c r="H1522" s="843" t="s">
        <v>2932</v>
      </c>
      <c r="I1522" s="842" t="s">
        <v>2931</v>
      </c>
      <c r="J1522" s="840">
        <v>80009089</v>
      </c>
      <c r="K1522" s="840">
        <v>105012948</v>
      </c>
      <c r="L1522" s="841">
        <v>1946290907</v>
      </c>
      <c r="M1522" s="840">
        <v>2161470530</v>
      </c>
      <c r="N1522" s="839">
        <f>Indicadores[[#This Row],[Ventas]]/Indicadores[[#This Row],[Activos totales]]</f>
        <v>1.1105588184305277</v>
      </c>
      <c r="O1522" s="837">
        <f>IF(Indicadores[[#This Row],[Ventas]]=0,0,Indicadores[[#This Row],[EBITDA]]/Indicadores[[#This Row],[Ventas]])</f>
        <v>4.8584029503284505E-2</v>
      </c>
      <c r="P1522" s="837">
        <f>IF(Indicadores[[#This Row],[Ventas]]=0,0,Indicadores[[#This Row],[UAI]]/Indicadores[[#This Row],[Ventas]])</f>
        <v>3.7016044350139714E-2</v>
      </c>
      <c r="Q1522" s="837">
        <f>IFERROR(Indicadores[[#This Row],[Ventas]]/Indicadores[[#This Row],[Activos totales]],0)</f>
        <v>1.1105588184305277</v>
      </c>
    </row>
    <row r="1523" spans="1:17" hidden="1" x14ac:dyDescent="0.3">
      <c r="A1523" s="13" t="str">
        <f>MID(Indicadores[[#This Row],[CIIU]],2,4)</f>
        <v>4755</v>
      </c>
      <c r="B1523" s="13" t="str">
        <f>Indicadores[[#This Row],[CIIU]]&amp;Indicadores[[#This Row],[Año]]</f>
        <v>G47552019</v>
      </c>
      <c r="C1523" s="845" t="s">
        <v>2803</v>
      </c>
      <c r="D1523" s="845" t="s">
        <v>2887</v>
      </c>
      <c r="E1523" s="843">
        <v>2019</v>
      </c>
      <c r="F1523" s="844" t="s">
        <v>2933</v>
      </c>
      <c r="G1523" s="842" t="s">
        <v>2934</v>
      </c>
      <c r="H1523" s="843" t="s">
        <v>2935</v>
      </c>
      <c r="I1523" s="842" t="s">
        <v>2934</v>
      </c>
      <c r="J1523" s="840">
        <v>-2188296</v>
      </c>
      <c r="K1523" s="840">
        <v>4356235</v>
      </c>
      <c r="L1523" s="841">
        <v>503081680</v>
      </c>
      <c r="M1523" s="840">
        <v>697215049</v>
      </c>
      <c r="N1523" s="839">
        <f>Indicadores[[#This Row],[Ventas]]/Indicadores[[#This Row],[Activos totales]]</f>
        <v>1.3858883690616601</v>
      </c>
      <c r="O1523" s="837">
        <f>IF(Indicadores[[#This Row],[Ventas]]=0,0,Indicadores[[#This Row],[EBITDA]]/Indicadores[[#This Row],[Ventas]])</f>
        <v>6.2480507359215075E-3</v>
      </c>
      <c r="P1523" s="837">
        <f>IF(Indicadores[[#This Row],[Ventas]]=0,0,Indicadores[[#This Row],[UAI]]/Indicadores[[#This Row],[Ventas]])</f>
        <v>-3.1386241635756773E-3</v>
      </c>
      <c r="Q1523" s="837">
        <f>IFERROR(Indicadores[[#This Row],[Ventas]]/Indicadores[[#This Row],[Activos totales]],0)</f>
        <v>1.3858883690616601</v>
      </c>
    </row>
    <row r="1524" spans="1:17" hidden="1" x14ac:dyDescent="0.3">
      <c r="A1524" s="13" t="str">
        <f>MID(Indicadores[[#This Row],[CIIU]],2,4)</f>
        <v>4759</v>
      </c>
      <c r="B1524" s="13" t="str">
        <f>Indicadores[[#This Row],[CIIU]]&amp;Indicadores[[#This Row],[Año]]</f>
        <v>G47592019</v>
      </c>
      <c r="C1524" s="845" t="s">
        <v>2803</v>
      </c>
      <c r="D1524" s="845" t="s">
        <v>2887</v>
      </c>
      <c r="E1524" s="843">
        <v>2019</v>
      </c>
      <c r="F1524" s="844" t="s">
        <v>2936</v>
      </c>
      <c r="G1524" s="842" t="s">
        <v>2937</v>
      </c>
      <c r="H1524" s="843" t="s">
        <v>2938</v>
      </c>
      <c r="I1524" s="842" t="s">
        <v>2937</v>
      </c>
      <c r="J1524" s="840">
        <v>43163135</v>
      </c>
      <c r="K1524" s="840">
        <v>52717394</v>
      </c>
      <c r="L1524" s="841">
        <v>390689064</v>
      </c>
      <c r="M1524" s="840">
        <v>624107927</v>
      </c>
      <c r="N1524" s="839">
        <f>Indicadores[[#This Row],[Ventas]]/Indicadores[[#This Row],[Activos totales]]</f>
        <v>1.5974543044798408</v>
      </c>
      <c r="O1524" s="837">
        <f>IF(Indicadores[[#This Row],[Ventas]]=0,0,Indicadores[[#This Row],[EBITDA]]/Indicadores[[#This Row],[Ventas]])</f>
        <v>8.4468393557193197E-2</v>
      </c>
      <c r="P1524" s="837">
        <f>IF(Indicadores[[#This Row],[Ventas]]=0,0,Indicadores[[#This Row],[UAI]]/Indicadores[[#This Row],[Ventas]])</f>
        <v>6.9159728842860854E-2</v>
      </c>
      <c r="Q1524" s="837">
        <f>IFERROR(Indicadores[[#This Row],[Ventas]]/Indicadores[[#This Row],[Activos totales]],0)</f>
        <v>1.5974543044798408</v>
      </c>
    </row>
    <row r="1525" spans="1:17" hidden="1" x14ac:dyDescent="0.3">
      <c r="A1525" s="13" t="str">
        <f>MID(Indicadores[[#This Row],[CIIU]],2,4)</f>
        <v>4761</v>
      </c>
      <c r="B1525" s="13" t="str">
        <f>Indicadores[[#This Row],[CIIU]]&amp;Indicadores[[#This Row],[Año]]</f>
        <v>G47612019</v>
      </c>
      <c r="C1525" s="845" t="s">
        <v>2803</v>
      </c>
      <c r="D1525" s="845" t="s">
        <v>2887</v>
      </c>
      <c r="E1525" s="843">
        <v>2019</v>
      </c>
      <c r="F1525" s="844" t="s">
        <v>2939</v>
      </c>
      <c r="G1525" s="842" t="s">
        <v>2940</v>
      </c>
      <c r="H1525" s="843" t="s">
        <v>2941</v>
      </c>
      <c r="I1525" s="842" t="s">
        <v>2940</v>
      </c>
      <c r="J1525" s="840">
        <v>113768492</v>
      </c>
      <c r="K1525" s="840">
        <v>134818208</v>
      </c>
      <c r="L1525" s="841">
        <v>1707048051</v>
      </c>
      <c r="M1525" s="840">
        <v>1630547556</v>
      </c>
      <c r="N1525" s="839">
        <f>Indicadores[[#This Row],[Ventas]]/Indicadores[[#This Row],[Activos totales]]</f>
        <v>0.95518550578867101</v>
      </c>
      <c r="O1525" s="837">
        <f>IF(Indicadores[[#This Row],[Ventas]]=0,0,Indicadores[[#This Row],[EBITDA]]/Indicadores[[#This Row],[Ventas]])</f>
        <v>8.2682781930464591E-2</v>
      </c>
      <c r="P1525" s="837">
        <f>IF(Indicadores[[#This Row],[Ventas]]=0,0,Indicadores[[#This Row],[UAI]]/Indicadores[[#This Row],[Ventas]])</f>
        <v>6.9773182377515397E-2</v>
      </c>
      <c r="Q1525" s="837">
        <f>IFERROR(Indicadores[[#This Row],[Ventas]]/Indicadores[[#This Row],[Activos totales]],0)</f>
        <v>0.95518550578867101</v>
      </c>
    </row>
    <row r="1526" spans="1:17" hidden="1" x14ac:dyDescent="0.3">
      <c r="A1526" s="13" t="str">
        <f>MID(Indicadores[[#This Row],[CIIU]],2,4)</f>
        <v>4762</v>
      </c>
      <c r="B1526" s="13" t="str">
        <f>Indicadores[[#This Row],[CIIU]]&amp;Indicadores[[#This Row],[Año]]</f>
        <v>G47622019</v>
      </c>
      <c r="C1526" s="845" t="s">
        <v>2803</v>
      </c>
      <c r="D1526" s="845" t="s">
        <v>2887</v>
      </c>
      <c r="E1526" s="843">
        <v>2019</v>
      </c>
      <c r="F1526" s="844" t="s">
        <v>2942</v>
      </c>
      <c r="G1526" s="842" t="s">
        <v>2943</v>
      </c>
      <c r="H1526" s="843" t="s">
        <v>2944</v>
      </c>
      <c r="I1526" s="842" t="s">
        <v>2945</v>
      </c>
      <c r="J1526" s="840">
        <v>-10439545</v>
      </c>
      <c r="K1526" s="840">
        <v>-1298137</v>
      </c>
      <c r="L1526" s="841">
        <v>717957355</v>
      </c>
      <c r="M1526" s="840">
        <v>640999499</v>
      </c>
      <c r="N1526" s="839">
        <f>Indicadores[[#This Row],[Ventas]]/Indicadores[[#This Row],[Activos totales]]</f>
        <v>0.89280999008638895</v>
      </c>
      <c r="O1526" s="837">
        <f>IF(Indicadores[[#This Row],[Ventas]]=0,0,Indicadores[[#This Row],[EBITDA]]/Indicadores[[#This Row],[Ventas]])</f>
        <v>-2.0251763098491906E-3</v>
      </c>
      <c r="P1526" s="837">
        <f>IF(Indicadores[[#This Row],[Ventas]]=0,0,Indicadores[[#This Row],[UAI]]/Indicadores[[#This Row],[Ventas]])</f>
        <v>-1.6286354382938448E-2</v>
      </c>
      <c r="Q1526" s="837">
        <f>IFERROR(Indicadores[[#This Row],[Ventas]]/Indicadores[[#This Row],[Activos totales]],0)</f>
        <v>0.89280999008638895</v>
      </c>
    </row>
    <row r="1527" spans="1:17" hidden="1" x14ac:dyDescent="0.3">
      <c r="A1527" s="13" t="str">
        <f>MID(Indicadores[[#This Row],[CIIU]],2,4)</f>
        <v>4769</v>
      </c>
      <c r="B1527" s="13" t="str">
        <f>Indicadores[[#This Row],[CIIU]]&amp;Indicadores[[#This Row],[Año]]</f>
        <v>G47692019</v>
      </c>
      <c r="C1527" s="845" t="s">
        <v>2803</v>
      </c>
      <c r="D1527" s="845" t="s">
        <v>2887</v>
      </c>
      <c r="E1527" s="843">
        <v>2019</v>
      </c>
      <c r="F1527" s="844" t="s">
        <v>2946</v>
      </c>
      <c r="G1527" s="842" t="s">
        <v>2947</v>
      </c>
      <c r="H1527" s="843" t="s">
        <v>2948</v>
      </c>
      <c r="I1527" s="842" t="s">
        <v>2947</v>
      </c>
      <c r="J1527" s="840">
        <v>6709167</v>
      </c>
      <c r="K1527" s="840">
        <v>6752145</v>
      </c>
      <c r="L1527" s="841">
        <v>31629776</v>
      </c>
      <c r="M1527" s="840">
        <v>30963759</v>
      </c>
      <c r="N1527" s="839">
        <f>Indicadores[[#This Row],[Ventas]]/Indicadores[[#This Row],[Activos totales]]</f>
        <v>0.97894335388274645</v>
      </c>
      <c r="O1527" s="837">
        <f>IF(Indicadores[[#This Row],[Ventas]]=0,0,Indicadores[[#This Row],[EBITDA]]/Indicadores[[#This Row],[Ventas]])</f>
        <v>0.2180660623278976</v>
      </c>
      <c r="P1527" s="837">
        <f>IF(Indicadores[[#This Row],[Ventas]]=0,0,Indicadores[[#This Row],[UAI]]/Indicadores[[#This Row],[Ventas]])</f>
        <v>0.21667805255815356</v>
      </c>
      <c r="Q1527" s="837">
        <f>IFERROR(Indicadores[[#This Row],[Ventas]]/Indicadores[[#This Row],[Activos totales]],0)</f>
        <v>0.97894335388274645</v>
      </c>
    </row>
    <row r="1528" spans="1:17" hidden="1" x14ac:dyDescent="0.3">
      <c r="A1528" s="13" t="str">
        <f>MID(Indicadores[[#This Row],[CIIU]],2,4)</f>
        <v>4771</v>
      </c>
      <c r="B1528" s="13" t="str">
        <f>Indicadores[[#This Row],[CIIU]]&amp;Indicadores[[#This Row],[Año]]</f>
        <v>G47712019</v>
      </c>
      <c r="C1528" s="845" t="s">
        <v>2803</v>
      </c>
      <c r="D1528" s="845" t="s">
        <v>2887</v>
      </c>
      <c r="E1528" s="843">
        <v>2019</v>
      </c>
      <c r="F1528" s="844" t="s">
        <v>2949</v>
      </c>
      <c r="G1528" s="842" t="s">
        <v>2950</v>
      </c>
      <c r="H1528" s="843" t="s">
        <v>2951</v>
      </c>
      <c r="I1528" s="842" t="s">
        <v>2950</v>
      </c>
      <c r="J1528" s="840">
        <v>179105201</v>
      </c>
      <c r="K1528" s="840">
        <v>328149769</v>
      </c>
      <c r="L1528" s="841">
        <v>4098249011</v>
      </c>
      <c r="M1528" s="840">
        <v>5348959388</v>
      </c>
      <c r="N1528" s="839">
        <f>Indicadores[[#This Row],[Ventas]]/Indicadores[[#This Row],[Activos totales]]</f>
        <v>1.3051816455376435</v>
      </c>
      <c r="O1528" s="837">
        <f>IF(Indicadores[[#This Row],[Ventas]]=0,0,Indicadores[[#This Row],[EBITDA]]/Indicadores[[#This Row],[Ventas]])</f>
        <v>6.1348338096598759E-2</v>
      </c>
      <c r="P1528" s="837">
        <f>IF(Indicadores[[#This Row],[Ventas]]=0,0,Indicadores[[#This Row],[UAI]]/Indicadores[[#This Row],[Ventas]])</f>
        <v>3.3484120556572079E-2</v>
      </c>
      <c r="Q1528" s="837">
        <f>IFERROR(Indicadores[[#This Row],[Ventas]]/Indicadores[[#This Row],[Activos totales]],0)</f>
        <v>1.3051816455376435</v>
      </c>
    </row>
    <row r="1529" spans="1:17" hidden="1" x14ac:dyDescent="0.3">
      <c r="A1529" s="13" t="str">
        <f>MID(Indicadores[[#This Row],[CIIU]],2,4)</f>
        <v>4772</v>
      </c>
      <c r="B1529" s="13" t="str">
        <f>Indicadores[[#This Row],[CIIU]]&amp;Indicadores[[#This Row],[Año]]</f>
        <v>G47722019</v>
      </c>
      <c r="C1529" s="845" t="s">
        <v>2803</v>
      </c>
      <c r="D1529" s="845" t="s">
        <v>2887</v>
      </c>
      <c r="E1529" s="843">
        <v>2019</v>
      </c>
      <c r="F1529" s="844" t="s">
        <v>2952</v>
      </c>
      <c r="G1529" s="842" t="s">
        <v>2953</v>
      </c>
      <c r="H1529" s="843" t="s">
        <v>2954</v>
      </c>
      <c r="I1529" s="842" t="s">
        <v>2955</v>
      </c>
      <c r="J1529" s="840">
        <v>-28242291</v>
      </c>
      <c r="K1529" s="840">
        <v>12729247</v>
      </c>
      <c r="L1529" s="841">
        <v>1501780889</v>
      </c>
      <c r="M1529" s="840">
        <v>1677061416</v>
      </c>
      <c r="N1529" s="839">
        <f>Indicadores[[#This Row],[Ventas]]/Indicadores[[#This Row],[Activos totales]]</f>
        <v>1.116715113558753</v>
      </c>
      <c r="O1529" s="837">
        <f>IF(Indicadores[[#This Row],[Ventas]]=0,0,Indicadores[[#This Row],[EBITDA]]/Indicadores[[#This Row],[Ventas]])</f>
        <v>7.5902092067449958E-3</v>
      </c>
      <c r="P1529" s="837">
        <f>IF(Indicadores[[#This Row],[Ventas]]=0,0,Indicadores[[#This Row],[UAI]]/Indicadores[[#This Row],[Ventas]])</f>
        <v>-1.6840343907834558E-2</v>
      </c>
      <c r="Q1529" s="837">
        <f>IFERROR(Indicadores[[#This Row],[Ventas]]/Indicadores[[#This Row],[Activos totales]],0)</f>
        <v>1.116715113558753</v>
      </c>
    </row>
    <row r="1530" spans="1:17" hidden="1" x14ac:dyDescent="0.3">
      <c r="A1530" s="13" t="str">
        <f>MID(Indicadores[[#This Row],[CIIU]],2,4)</f>
        <v>4773</v>
      </c>
      <c r="B1530" s="13" t="str">
        <f>Indicadores[[#This Row],[CIIU]]&amp;Indicadores[[#This Row],[Año]]</f>
        <v>G47732019</v>
      </c>
      <c r="C1530" s="845" t="s">
        <v>2803</v>
      </c>
      <c r="D1530" s="845" t="s">
        <v>2887</v>
      </c>
      <c r="E1530" s="843">
        <v>2019</v>
      </c>
      <c r="F1530" s="844" t="s">
        <v>2956</v>
      </c>
      <c r="G1530" s="842" t="s">
        <v>2957</v>
      </c>
      <c r="H1530" s="843" t="s">
        <v>2958</v>
      </c>
      <c r="I1530" s="842" t="s">
        <v>2957</v>
      </c>
      <c r="J1530" s="840">
        <v>114868497</v>
      </c>
      <c r="K1530" s="840">
        <v>297467619</v>
      </c>
      <c r="L1530" s="841">
        <v>5395808597</v>
      </c>
      <c r="M1530" s="840">
        <v>6460613606</v>
      </c>
      <c r="N1530" s="839">
        <f>Indicadores[[#This Row],[Ventas]]/Indicadores[[#This Row],[Activos totales]]</f>
        <v>1.1973392847166628</v>
      </c>
      <c r="O1530" s="837">
        <f>IF(Indicadores[[#This Row],[Ventas]]=0,0,Indicadores[[#This Row],[EBITDA]]/Indicadores[[#This Row],[Ventas]])</f>
        <v>4.6043245601894614E-2</v>
      </c>
      <c r="P1530" s="837">
        <f>IF(Indicadores[[#This Row],[Ventas]]=0,0,Indicadores[[#This Row],[UAI]]/Indicadores[[#This Row],[Ventas]])</f>
        <v>1.7779812260142153E-2</v>
      </c>
      <c r="Q1530" s="837">
        <f>IFERROR(Indicadores[[#This Row],[Ventas]]/Indicadores[[#This Row],[Activos totales]],0)</f>
        <v>1.1973392847166628</v>
      </c>
    </row>
    <row r="1531" spans="1:17" hidden="1" x14ac:dyDescent="0.3">
      <c r="A1531" s="13" t="str">
        <f>MID(Indicadores[[#This Row],[CIIU]],2,4)</f>
        <v>4774</v>
      </c>
      <c r="B1531" s="13" t="str">
        <f>Indicadores[[#This Row],[CIIU]]&amp;Indicadores[[#This Row],[Año]]</f>
        <v>G47742019</v>
      </c>
      <c r="C1531" s="845" t="s">
        <v>2803</v>
      </c>
      <c r="D1531" s="845" t="s">
        <v>2887</v>
      </c>
      <c r="E1531" s="843">
        <v>2019</v>
      </c>
      <c r="F1531" s="844" t="s">
        <v>2959</v>
      </c>
      <c r="G1531" s="842" t="s">
        <v>2960</v>
      </c>
      <c r="H1531" s="843" t="s">
        <v>2961</v>
      </c>
      <c r="I1531" s="842" t="s">
        <v>2960</v>
      </c>
      <c r="J1531" s="840">
        <v>126020776</v>
      </c>
      <c r="K1531" s="840">
        <v>151795799</v>
      </c>
      <c r="L1531" s="841">
        <v>1881876161</v>
      </c>
      <c r="M1531" s="840">
        <v>2516652125</v>
      </c>
      <c r="N1531" s="839">
        <f>Indicadores[[#This Row],[Ventas]]/Indicadores[[#This Row],[Activos totales]]</f>
        <v>1.3373101679882538</v>
      </c>
      <c r="O1531" s="837">
        <f>IF(Indicadores[[#This Row],[Ventas]]=0,0,Indicadores[[#This Row],[EBITDA]]/Indicadores[[#This Row],[Ventas]])</f>
        <v>6.0316560041050571E-2</v>
      </c>
      <c r="P1531" s="837">
        <f>IF(Indicadores[[#This Row],[Ventas]]=0,0,Indicadores[[#This Row],[UAI]]/Indicadores[[#This Row],[Ventas]])</f>
        <v>5.007476986911729E-2</v>
      </c>
      <c r="Q1531" s="837">
        <f>IFERROR(Indicadores[[#This Row],[Ventas]]/Indicadores[[#This Row],[Activos totales]],0)</f>
        <v>1.3373101679882538</v>
      </c>
    </row>
    <row r="1532" spans="1:17" hidden="1" x14ac:dyDescent="0.3">
      <c r="A1532" s="13" t="str">
        <f>MID(Indicadores[[#This Row],[CIIU]],2,4)</f>
        <v>4775</v>
      </c>
      <c r="B1532" s="13" t="str">
        <f>Indicadores[[#This Row],[CIIU]]&amp;Indicadores[[#This Row],[Año]]</f>
        <v>G47752019</v>
      </c>
      <c r="C1532" s="845" t="s">
        <v>2803</v>
      </c>
      <c r="D1532" s="845" t="s">
        <v>2887</v>
      </c>
      <c r="E1532" s="843">
        <v>2019</v>
      </c>
      <c r="F1532" s="844" t="s">
        <v>2962</v>
      </c>
      <c r="G1532" s="842" t="s">
        <v>2963</v>
      </c>
      <c r="H1532" s="843" t="s">
        <v>2964</v>
      </c>
      <c r="I1532" s="842" t="s">
        <v>2963</v>
      </c>
      <c r="J1532" s="840">
        <v>5318062</v>
      </c>
      <c r="K1532" s="840">
        <v>5808661</v>
      </c>
      <c r="L1532" s="841">
        <v>94914561</v>
      </c>
      <c r="M1532" s="840">
        <v>41906292</v>
      </c>
      <c r="N1532" s="839">
        <f>Indicadores[[#This Row],[Ventas]]/Indicadores[[#This Row],[Activos totales]]</f>
        <v>0.44151594400779032</v>
      </c>
      <c r="O1532" s="837">
        <f>IF(Indicadores[[#This Row],[Ventas]]=0,0,Indicadores[[#This Row],[EBITDA]]/Indicadores[[#This Row],[Ventas]])</f>
        <v>0.13861071268247738</v>
      </c>
      <c r="P1532" s="837">
        <f>IF(Indicadores[[#This Row],[Ventas]]=0,0,Indicadores[[#This Row],[UAI]]/Indicadores[[#This Row],[Ventas]])</f>
        <v>0.12690366401303174</v>
      </c>
      <c r="Q1532" s="837">
        <f>IFERROR(Indicadores[[#This Row],[Ventas]]/Indicadores[[#This Row],[Activos totales]],0)</f>
        <v>0.44151594400779032</v>
      </c>
    </row>
    <row r="1533" spans="1:17" hidden="1" x14ac:dyDescent="0.3">
      <c r="A1533" s="13" t="str">
        <f>MID(Indicadores[[#This Row],[CIIU]],2,4)</f>
        <v>4781</v>
      </c>
      <c r="B1533" s="13" t="str">
        <f>Indicadores[[#This Row],[CIIU]]&amp;Indicadores[[#This Row],[Año]]</f>
        <v>G47812019</v>
      </c>
      <c r="C1533" s="845" t="s">
        <v>2803</v>
      </c>
      <c r="D1533" s="845" t="s">
        <v>2887</v>
      </c>
      <c r="E1533" s="843">
        <v>2019</v>
      </c>
      <c r="F1533" s="844" t="s">
        <v>2965</v>
      </c>
      <c r="G1533" s="842" t="s">
        <v>2966</v>
      </c>
      <c r="H1533" s="843" t="s">
        <v>2967</v>
      </c>
      <c r="I1533" s="842" t="s">
        <v>2966</v>
      </c>
      <c r="J1533" s="840">
        <v>4981640</v>
      </c>
      <c r="K1533" s="840">
        <v>5130312</v>
      </c>
      <c r="L1533" s="841">
        <v>31017096</v>
      </c>
      <c r="M1533" s="840">
        <v>47097392</v>
      </c>
      <c r="N1533" s="839">
        <f>Indicadores[[#This Row],[Ventas]]/Indicadores[[#This Row],[Activos totales]]</f>
        <v>1.5184333181932956</v>
      </c>
      <c r="O1533" s="837">
        <f>IF(Indicadores[[#This Row],[Ventas]]=0,0,Indicadores[[#This Row],[EBITDA]]/Indicadores[[#This Row],[Ventas]])</f>
        <v>0.10892985327085628</v>
      </c>
      <c r="P1533" s="837">
        <f>IF(Indicadores[[#This Row],[Ventas]]=0,0,Indicadores[[#This Row],[UAI]]/Indicadores[[#This Row],[Ventas]])</f>
        <v>0.10577316043317218</v>
      </c>
      <c r="Q1533" s="837">
        <f>IFERROR(Indicadores[[#This Row],[Ventas]]/Indicadores[[#This Row],[Activos totales]],0)</f>
        <v>1.5184333181932956</v>
      </c>
    </row>
    <row r="1534" spans="1:17" hidden="1" x14ac:dyDescent="0.3">
      <c r="A1534" s="13" t="str">
        <f>MID(Indicadores[[#This Row],[CIIU]],2,4)</f>
        <v>4789</v>
      </c>
      <c r="B1534" s="13" t="str">
        <f>Indicadores[[#This Row],[CIIU]]&amp;Indicadores[[#This Row],[Año]]</f>
        <v>G47892019</v>
      </c>
      <c r="C1534" s="845" t="s">
        <v>2803</v>
      </c>
      <c r="D1534" s="845" t="s">
        <v>2887</v>
      </c>
      <c r="E1534" s="843">
        <v>2019</v>
      </c>
      <c r="F1534" s="844" t="s">
        <v>3561</v>
      </c>
      <c r="G1534" s="842" t="s">
        <v>3562</v>
      </c>
      <c r="H1534" s="843" t="s">
        <v>3563</v>
      </c>
      <c r="I1534" s="842" t="s">
        <v>3562</v>
      </c>
      <c r="J1534" s="840">
        <v>2752604</v>
      </c>
      <c r="K1534" s="840">
        <v>3060047</v>
      </c>
      <c r="L1534" s="841">
        <v>40072677</v>
      </c>
      <c r="M1534" s="840">
        <v>26485167</v>
      </c>
      <c r="N1534" s="839">
        <f>Indicadores[[#This Row],[Ventas]]/Indicadores[[#This Row],[Activos totales]]</f>
        <v>0.66092831781615191</v>
      </c>
      <c r="O1534" s="837">
        <f>IF(Indicadores[[#This Row],[Ventas]]=0,0,Indicadores[[#This Row],[EBITDA]]/Indicadores[[#This Row],[Ventas]])</f>
        <v>0.11553814253842537</v>
      </c>
      <c r="P1534" s="837">
        <f>IF(Indicadores[[#This Row],[Ventas]]=0,0,Indicadores[[#This Row],[UAI]]/Indicadores[[#This Row],[Ventas]])</f>
        <v>0.10393002241594324</v>
      </c>
      <c r="Q1534" s="837">
        <f>IFERROR(Indicadores[[#This Row],[Ventas]]/Indicadores[[#This Row],[Activos totales]],0)</f>
        <v>0.66092831781615191</v>
      </c>
    </row>
    <row r="1535" spans="1:17" hidden="1" x14ac:dyDescent="0.3">
      <c r="A1535" s="13" t="str">
        <f>MID(Indicadores[[#This Row],[CIIU]],2,4)</f>
        <v>4791</v>
      </c>
      <c r="B1535" s="13" t="str">
        <f>Indicadores[[#This Row],[CIIU]]&amp;Indicadores[[#This Row],[Año]]</f>
        <v>G47912019</v>
      </c>
      <c r="C1535" s="845" t="s">
        <v>2803</v>
      </c>
      <c r="D1535" s="845" t="s">
        <v>2887</v>
      </c>
      <c r="E1535" s="843">
        <v>2019</v>
      </c>
      <c r="F1535" s="844" t="s">
        <v>2968</v>
      </c>
      <c r="G1535" s="842" t="s">
        <v>2969</v>
      </c>
      <c r="H1535" s="843" t="s">
        <v>2970</v>
      </c>
      <c r="I1535" s="842" t="s">
        <v>2971</v>
      </c>
      <c r="J1535" s="840">
        <v>-44736679</v>
      </c>
      <c r="K1535" s="840">
        <v>-42764319</v>
      </c>
      <c r="L1535" s="841">
        <v>133048909</v>
      </c>
      <c r="M1535" s="840">
        <v>209187823</v>
      </c>
      <c r="N1535" s="839">
        <f>Indicadores[[#This Row],[Ventas]]/Indicadores[[#This Row],[Activos totales]]</f>
        <v>1.5722625955542409</v>
      </c>
      <c r="O1535" s="837">
        <f>IF(Indicadores[[#This Row],[Ventas]]=0,0,Indicadores[[#This Row],[EBITDA]]/Indicadores[[#This Row],[Ventas]])</f>
        <v>-0.20443025022541583</v>
      </c>
      <c r="P1535" s="837">
        <f>IF(Indicadores[[#This Row],[Ventas]]=0,0,Indicadores[[#This Row],[UAI]]/Indicadores[[#This Row],[Ventas]])</f>
        <v>-0.21385890611806788</v>
      </c>
      <c r="Q1535" s="837">
        <f>IFERROR(Indicadores[[#This Row],[Ventas]]/Indicadores[[#This Row],[Activos totales]],0)</f>
        <v>1.5722625955542409</v>
      </c>
    </row>
    <row r="1536" spans="1:17" hidden="1" x14ac:dyDescent="0.3">
      <c r="A1536" s="13" t="str">
        <f>MID(Indicadores[[#This Row],[CIIU]],2,4)</f>
        <v>4799</v>
      </c>
      <c r="B1536" s="13" t="str">
        <f>Indicadores[[#This Row],[CIIU]]&amp;Indicadores[[#This Row],[Año]]</f>
        <v>G47992019</v>
      </c>
      <c r="C1536" s="845" t="s">
        <v>2803</v>
      </c>
      <c r="D1536" s="845" t="s">
        <v>2887</v>
      </c>
      <c r="E1536" s="843">
        <v>2019</v>
      </c>
      <c r="F1536" s="844" t="s">
        <v>2975</v>
      </c>
      <c r="G1536" s="842" t="s">
        <v>2976</v>
      </c>
      <c r="H1536" s="843" t="s">
        <v>2977</v>
      </c>
      <c r="I1536" s="842" t="s">
        <v>2978</v>
      </c>
      <c r="J1536" s="840">
        <v>335888879</v>
      </c>
      <c r="K1536" s="840">
        <v>369639357</v>
      </c>
      <c r="L1536" s="841">
        <v>8507782618</v>
      </c>
      <c r="M1536" s="840">
        <v>2107832623</v>
      </c>
      <c r="N1536" s="839">
        <f>Indicadores[[#This Row],[Ventas]]/Indicadores[[#This Row],[Activos totales]]</f>
        <v>0.24775346499103509</v>
      </c>
      <c r="O1536" s="837">
        <f>IF(Indicadores[[#This Row],[Ventas]]=0,0,Indicadores[[#This Row],[EBITDA]]/Indicadores[[#This Row],[Ventas]])</f>
        <v>0.17536466271876275</v>
      </c>
      <c r="P1536" s="837">
        <f>IF(Indicadores[[#This Row],[Ventas]]=0,0,Indicadores[[#This Row],[UAI]]/Indicadores[[#This Row],[Ventas]])</f>
        <v>0.15935272816963134</v>
      </c>
      <c r="Q1536" s="837">
        <f>IFERROR(Indicadores[[#This Row],[Ventas]]/Indicadores[[#This Row],[Activos totales]],0)</f>
        <v>0.24775346499103509</v>
      </c>
    </row>
    <row r="1537" spans="1:17" hidden="1" x14ac:dyDescent="0.3">
      <c r="A1537" s="13" t="str">
        <f>MID(Indicadores[[#This Row],[CIIU]],2,4)</f>
        <v>4912</v>
      </c>
      <c r="B1537" s="13" t="str">
        <f>Indicadores[[#This Row],[CIIU]]&amp;Indicadores[[#This Row],[Año]]</f>
        <v>H49122019</v>
      </c>
      <c r="C1537" s="845" t="s">
        <v>2979</v>
      </c>
      <c r="D1537" s="845" t="s">
        <v>2980</v>
      </c>
      <c r="E1537" s="843">
        <v>2019</v>
      </c>
      <c r="F1537" s="844" t="s">
        <v>2984</v>
      </c>
      <c r="G1537" s="842" t="s">
        <v>2985</v>
      </c>
      <c r="H1537" s="843" t="s">
        <v>2986</v>
      </c>
      <c r="I1537" s="842" t="s">
        <v>2987</v>
      </c>
      <c r="J1537" s="840">
        <v>-3160849</v>
      </c>
      <c r="K1537" s="840">
        <v>-2939361</v>
      </c>
      <c r="L1537" s="841">
        <v>92221600</v>
      </c>
      <c r="M1537" s="840">
        <v>17199719</v>
      </c>
      <c r="N1537" s="839">
        <f>Indicadores[[#This Row],[Ventas]]/Indicadores[[#This Row],[Activos totales]]</f>
        <v>0.18650423545026329</v>
      </c>
      <c r="O1537" s="837">
        <f>IF(Indicadores[[#This Row],[Ventas]]=0,0,Indicadores[[#This Row],[EBITDA]]/Indicadores[[#This Row],[Ventas]])</f>
        <v>-0.17089587335700077</v>
      </c>
      <c r="P1537" s="837">
        <f>IF(Indicadores[[#This Row],[Ventas]]=0,0,Indicadores[[#This Row],[UAI]]/Indicadores[[#This Row],[Ventas]])</f>
        <v>-0.183773293040427</v>
      </c>
      <c r="Q1537" s="837">
        <f>IFERROR(Indicadores[[#This Row],[Ventas]]/Indicadores[[#This Row],[Activos totales]],0)</f>
        <v>0.18650423545026329</v>
      </c>
    </row>
    <row r="1538" spans="1:17" hidden="1" x14ac:dyDescent="0.3">
      <c r="A1538" s="13" t="str">
        <f>MID(Indicadores[[#This Row],[CIIU]],2,4)</f>
        <v>4921</v>
      </c>
      <c r="B1538" s="13" t="str">
        <f>Indicadores[[#This Row],[CIIU]]&amp;Indicadores[[#This Row],[Año]]</f>
        <v>H49212019</v>
      </c>
      <c r="C1538" s="845" t="s">
        <v>2979</v>
      </c>
      <c r="D1538" s="845" t="s">
        <v>2980</v>
      </c>
      <c r="E1538" s="843">
        <v>2019</v>
      </c>
      <c r="F1538" s="844" t="s">
        <v>2988</v>
      </c>
      <c r="G1538" s="842" t="s">
        <v>2989</v>
      </c>
      <c r="H1538" s="843" t="s">
        <v>2990</v>
      </c>
      <c r="I1538" s="842" t="s">
        <v>2989</v>
      </c>
      <c r="J1538" s="840">
        <v>138964975</v>
      </c>
      <c r="K1538" s="840">
        <v>262703546</v>
      </c>
      <c r="L1538" s="841">
        <v>2323701992</v>
      </c>
      <c r="M1538" s="840">
        <v>1163897276</v>
      </c>
      <c r="N1538" s="839">
        <f>Indicadores[[#This Row],[Ventas]]/Indicadores[[#This Row],[Activos totales]]</f>
        <v>0.50088061206086021</v>
      </c>
      <c r="O1538" s="837">
        <f>IF(Indicadores[[#This Row],[Ventas]]=0,0,Indicadores[[#This Row],[EBITDA]]/Indicadores[[#This Row],[Ventas]])</f>
        <v>0.22571025073865711</v>
      </c>
      <c r="P1538" s="837">
        <f>IF(Indicadores[[#This Row],[Ventas]]=0,0,Indicadores[[#This Row],[UAI]]/Indicadores[[#This Row],[Ventas]])</f>
        <v>0.11939625417595702</v>
      </c>
      <c r="Q1538" s="837">
        <f>IFERROR(Indicadores[[#This Row],[Ventas]]/Indicadores[[#This Row],[Activos totales]],0)</f>
        <v>0.50088061206086021</v>
      </c>
    </row>
    <row r="1539" spans="1:17" hidden="1" x14ac:dyDescent="0.3">
      <c r="A1539" s="13" t="str">
        <f>MID(Indicadores[[#This Row],[CIIU]],2,4)</f>
        <v>4922</v>
      </c>
      <c r="B1539" s="13" t="str">
        <f>Indicadores[[#This Row],[CIIU]]&amp;Indicadores[[#This Row],[Año]]</f>
        <v>H49222019</v>
      </c>
      <c r="C1539" s="845" t="s">
        <v>2979</v>
      </c>
      <c r="D1539" s="845" t="s">
        <v>2980</v>
      </c>
      <c r="E1539" s="843">
        <v>2019</v>
      </c>
      <c r="F1539" s="844" t="s">
        <v>3564</v>
      </c>
      <c r="G1539" s="842" t="s">
        <v>3565</v>
      </c>
      <c r="H1539" s="843" t="s">
        <v>3566</v>
      </c>
      <c r="I1539" s="842" t="s">
        <v>3565</v>
      </c>
      <c r="J1539" s="840">
        <v>1724106</v>
      </c>
      <c r="K1539" s="840">
        <v>1815721</v>
      </c>
      <c r="L1539" s="841">
        <v>24180224</v>
      </c>
      <c r="M1539" s="840">
        <v>19896724</v>
      </c>
      <c r="N1539" s="839">
        <f>Indicadores[[#This Row],[Ventas]]/Indicadores[[#This Row],[Activos totales]]</f>
        <v>0.8228511034471806</v>
      </c>
      <c r="O1539" s="837">
        <f>IF(Indicadores[[#This Row],[Ventas]]=0,0,Indicadores[[#This Row],[EBITDA]]/Indicadores[[#This Row],[Ventas]])</f>
        <v>9.1257284365004007E-2</v>
      </c>
      <c r="P1539" s="837">
        <f>IF(Indicadores[[#This Row],[Ventas]]=0,0,Indicadores[[#This Row],[UAI]]/Indicadores[[#This Row],[Ventas]])</f>
        <v>8.6652757509226144E-2</v>
      </c>
      <c r="Q1539" s="837">
        <f>IFERROR(Indicadores[[#This Row],[Ventas]]/Indicadores[[#This Row],[Activos totales]],0)</f>
        <v>0.8228511034471806</v>
      </c>
    </row>
    <row r="1540" spans="1:17" hidden="1" x14ac:dyDescent="0.3">
      <c r="A1540" s="13" t="str">
        <f>MID(Indicadores[[#This Row],[CIIU]],2,4)</f>
        <v>4923</v>
      </c>
      <c r="B1540" s="13" t="str">
        <f>Indicadores[[#This Row],[CIIU]]&amp;Indicadores[[#This Row],[Año]]</f>
        <v>H49232019</v>
      </c>
      <c r="C1540" s="845" t="s">
        <v>2979</v>
      </c>
      <c r="D1540" s="845" t="s">
        <v>2980</v>
      </c>
      <c r="E1540" s="843">
        <v>2019</v>
      </c>
      <c r="F1540" s="844" t="s">
        <v>2991</v>
      </c>
      <c r="G1540" s="842" t="s">
        <v>2992</v>
      </c>
      <c r="H1540" s="843" t="s">
        <v>2993</v>
      </c>
      <c r="I1540" s="842" t="s">
        <v>2992</v>
      </c>
      <c r="J1540" s="840">
        <v>95432744</v>
      </c>
      <c r="K1540" s="840">
        <v>121727648</v>
      </c>
      <c r="L1540" s="841">
        <v>1793902803</v>
      </c>
      <c r="M1540" s="840">
        <v>1416921880</v>
      </c>
      <c r="N1540" s="839">
        <f>Indicadores[[#This Row],[Ventas]]/Indicadores[[#This Row],[Activos totales]]</f>
        <v>0.78985432077503703</v>
      </c>
      <c r="O1540" s="837">
        <f>IF(Indicadores[[#This Row],[Ventas]]=0,0,Indicadores[[#This Row],[EBITDA]]/Indicadores[[#This Row],[Ventas]])</f>
        <v>8.5909921865276018E-2</v>
      </c>
      <c r="P1540" s="837">
        <f>IF(Indicadores[[#This Row],[Ventas]]=0,0,Indicadores[[#This Row],[UAI]]/Indicadores[[#This Row],[Ventas]])</f>
        <v>6.7352156351767251E-2</v>
      </c>
      <c r="Q1540" s="837">
        <f>IFERROR(Indicadores[[#This Row],[Ventas]]/Indicadores[[#This Row],[Activos totales]],0)</f>
        <v>0.78985432077503703</v>
      </c>
    </row>
    <row r="1541" spans="1:17" hidden="1" x14ac:dyDescent="0.3">
      <c r="A1541" s="13" t="str">
        <f>MID(Indicadores[[#This Row],[CIIU]],2,4)</f>
        <v>4930</v>
      </c>
      <c r="B1541" s="13" t="str">
        <f>Indicadores[[#This Row],[CIIU]]&amp;Indicadores[[#This Row],[Año]]</f>
        <v>H49302019</v>
      </c>
      <c r="C1541" s="845" t="s">
        <v>2979</v>
      </c>
      <c r="D1541" s="845" t="s">
        <v>2980</v>
      </c>
      <c r="E1541" s="843">
        <v>2019</v>
      </c>
      <c r="F1541" s="844" t="s">
        <v>2994</v>
      </c>
      <c r="G1541" s="842" t="s">
        <v>2995</v>
      </c>
      <c r="H1541" s="843" t="s">
        <v>2996</v>
      </c>
      <c r="I1541" s="842" t="s">
        <v>2995</v>
      </c>
      <c r="J1541" s="840">
        <v>8330750121</v>
      </c>
      <c r="K1541" s="840">
        <v>9198475001</v>
      </c>
      <c r="L1541" s="841">
        <v>29888303577</v>
      </c>
      <c r="M1541" s="840">
        <v>9410359839</v>
      </c>
      <c r="N1541" s="839">
        <f>Indicadores[[#This Row],[Ventas]]/Indicadores[[#This Row],[Activos totales]]</f>
        <v>0.31485091867982667</v>
      </c>
      <c r="O1541" s="837">
        <f>IF(Indicadores[[#This Row],[Ventas]]=0,0,Indicadores[[#This Row],[EBITDA]]/Indicadores[[#This Row],[Ventas]])</f>
        <v>0.97748387504568413</v>
      </c>
      <c r="P1541" s="837">
        <f>IF(Indicadores[[#This Row],[Ventas]]=0,0,Indicadores[[#This Row],[UAI]]/Indicadores[[#This Row],[Ventas]])</f>
        <v>0.88527434269562155</v>
      </c>
      <c r="Q1541" s="837">
        <f>IFERROR(Indicadores[[#This Row],[Ventas]]/Indicadores[[#This Row],[Activos totales]],0)</f>
        <v>0.31485091867982667</v>
      </c>
    </row>
    <row r="1542" spans="1:17" hidden="1" x14ac:dyDescent="0.3">
      <c r="A1542" s="13" t="str">
        <f>MID(Indicadores[[#This Row],[CIIU]],2,4)</f>
        <v>5011</v>
      </c>
      <c r="B1542" s="13" t="str">
        <f>Indicadores[[#This Row],[CIIU]]&amp;Indicadores[[#This Row],[Año]]</f>
        <v>H50112019</v>
      </c>
      <c r="C1542" s="845" t="s">
        <v>2979</v>
      </c>
      <c r="D1542" s="845" t="s">
        <v>2997</v>
      </c>
      <c r="E1542" s="843">
        <v>2019</v>
      </c>
      <c r="F1542" s="844" t="s">
        <v>2998</v>
      </c>
      <c r="G1542" s="842" t="s">
        <v>2999</v>
      </c>
      <c r="H1542" s="843" t="s">
        <v>3000</v>
      </c>
      <c r="I1542" s="842" t="s">
        <v>3001</v>
      </c>
      <c r="J1542" s="840">
        <v>446667</v>
      </c>
      <c r="K1542" s="840">
        <v>446667</v>
      </c>
      <c r="L1542" s="841">
        <v>13372699</v>
      </c>
      <c r="M1542" s="840">
        <v>7679434</v>
      </c>
      <c r="N1542" s="839">
        <f>Indicadores[[#This Row],[Ventas]]/Indicadores[[#This Row],[Activos totales]]</f>
        <v>0.57426208426586134</v>
      </c>
      <c r="O1542" s="837">
        <f>IF(Indicadores[[#This Row],[Ventas]]=0,0,Indicadores[[#This Row],[EBITDA]]/Indicadores[[#This Row],[Ventas]])</f>
        <v>5.8164052194471627E-2</v>
      </c>
      <c r="P1542" s="837">
        <f>IF(Indicadores[[#This Row],[Ventas]]=0,0,Indicadores[[#This Row],[UAI]]/Indicadores[[#This Row],[Ventas]])</f>
        <v>5.8164052194471627E-2</v>
      </c>
      <c r="Q1542" s="837">
        <f>IFERROR(Indicadores[[#This Row],[Ventas]]/Indicadores[[#This Row],[Activos totales]],0)</f>
        <v>0.57426208426586134</v>
      </c>
    </row>
    <row r="1543" spans="1:17" hidden="1" x14ac:dyDescent="0.3">
      <c r="A1543" s="13" t="str">
        <f>MID(Indicadores[[#This Row],[CIIU]],2,4)</f>
        <v>5012</v>
      </c>
      <c r="B1543" s="13" t="str">
        <f>Indicadores[[#This Row],[CIIU]]&amp;Indicadores[[#This Row],[Año]]</f>
        <v>H50122019</v>
      </c>
      <c r="C1543" s="845" t="s">
        <v>2979</v>
      </c>
      <c r="D1543" s="845" t="s">
        <v>2997</v>
      </c>
      <c r="E1543" s="843">
        <v>2019</v>
      </c>
      <c r="F1543" s="844" t="s">
        <v>3002</v>
      </c>
      <c r="G1543" s="842" t="s">
        <v>3003</v>
      </c>
      <c r="H1543" s="843" t="s">
        <v>3004</v>
      </c>
      <c r="I1543" s="842" t="s">
        <v>3005</v>
      </c>
      <c r="J1543" s="840">
        <v>12693306</v>
      </c>
      <c r="K1543" s="840">
        <v>14364582</v>
      </c>
      <c r="L1543" s="841">
        <v>102805603</v>
      </c>
      <c r="M1543" s="840">
        <v>50636526</v>
      </c>
      <c r="N1543" s="839">
        <f>Indicadores[[#This Row],[Ventas]]/Indicadores[[#This Row],[Activos totales]]</f>
        <v>0.49254636442334765</v>
      </c>
      <c r="O1543" s="837">
        <f>IF(Indicadores[[#This Row],[Ventas]]=0,0,Indicadores[[#This Row],[EBITDA]]/Indicadores[[#This Row],[Ventas]])</f>
        <v>0.28368024299297312</v>
      </c>
      <c r="P1543" s="837">
        <f>IF(Indicadores[[#This Row],[Ventas]]=0,0,Indicadores[[#This Row],[UAI]]/Indicadores[[#This Row],[Ventas]])</f>
        <v>0.25067489819503019</v>
      </c>
      <c r="Q1543" s="837">
        <f>IFERROR(Indicadores[[#This Row],[Ventas]]/Indicadores[[#This Row],[Activos totales]],0)</f>
        <v>0.49254636442334765</v>
      </c>
    </row>
    <row r="1544" spans="1:17" hidden="1" x14ac:dyDescent="0.3">
      <c r="A1544" s="13" t="str">
        <f>MID(Indicadores[[#This Row],[CIIU]],2,4)</f>
        <v>5021</v>
      </c>
      <c r="B1544" s="13" t="str">
        <f>Indicadores[[#This Row],[CIIU]]&amp;Indicadores[[#This Row],[Año]]</f>
        <v>H50212019</v>
      </c>
      <c r="C1544" s="845" t="s">
        <v>2979</v>
      </c>
      <c r="D1544" s="845" t="s">
        <v>2997</v>
      </c>
      <c r="E1544" s="843">
        <v>2019</v>
      </c>
      <c r="F1544" s="844" t="s">
        <v>3567</v>
      </c>
      <c r="G1544" s="842" t="s">
        <v>3568</v>
      </c>
      <c r="H1544" s="843" t="s">
        <v>3569</v>
      </c>
      <c r="I1544" s="842" t="s">
        <v>3568</v>
      </c>
      <c r="J1544" s="840">
        <v>66150</v>
      </c>
      <c r="K1544" s="840">
        <v>221282</v>
      </c>
      <c r="L1544" s="841">
        <v>4630279</v>
      </c>
      <c r="M1544" s="840">
        <v>8014113</v>
      </c>
      <c r="N1544" s="839">
        <f>Indicadores[[#This Row],[Ventas]]/Indicadores[[#This Row],[Activos totales]]</f>
        <v>1.7308056382779526</v>
      </c>
      <c r="O1544" s="837">
        <f>IF(Indicadores[[#This Row],[Ventas]]=0,0,Indicadores[[#This Row],[EBITDA]]/Indicadores[[#This Row],[Ventas]])</f>
        <v>2.7611539792363797E-2</v>
      </c>
      <c r="P1544" s="837">
        <f>IF(Indicadores[[#This Row],[Ventas]]=0,0,Indicadores[[#This Row],[UAI]]/Indicadores[[#This Row],[Ventas]])</f>
        <v>8.2541885795720631E-3</v>
      </c>
      <c r="Q1544" s="837">
        <f>IFERROR(Indicadores[[#This Row],[Ventas]]/Indicadores[[#This Row],[Activos totales]],0)</f>
        <v>1.7308056382779526</v>
      </c>
    </row>
    <row r="1545" spans="1:17" hidden="1" x14ac:dyDescent="0.3">
      <c r="A1545" s="13" t="str">
        <f>MID(Indicadores[[#This Row],[CIIU]],2,4)</f>
        <v>5022</v>
      </c>
      <c r="B1545" s="13" t="str">
        <f>Indicadores[[#This Row],[CIIU]]&amp;Indicadores[[#This Row],[Año]]</f>
        <v>H50222019</v>
      </c>
      <c r="C1545" s="845" t="s">
        <v>2979</v>
      </c>
      <c r="D1545" s="845" t="s">
        <v>2997</v>
      </c>
      <c r="E1545" s="843">
        <v>2019</v>
      </c>
      <c r="F1545" s="844" t="s">
        <v>3006</v>
      </c>
      <c r="G1545" s="842" t="s">
        <v>3007</v>
      </c>
      <c r="H1545" s="843" t="s">
        <v>3008</v>
      </c>
      <c r="I1545" s="842" t="s">
        <v>3007</v>
      </c>
      <c r="J1545" s="840">
        <v>-840820</v>
      </c>
      <c r="K1545" s="840">
        <v>10597</v>
      </c>
      <c r="L1545" s="841">
        <v>43005043</v>
      </c>
      <c r="M1545" s="840">
        <v>12617644</v>
      </c>
      <c r="N1545" s="839">
        <f>Indicadores[[#This Row],[Ventas]]/Indicadores[[#This Row],[Activos totales]]</f>
        <v>0.29339917181340802</v>
      </c>
      <c r="O1545" s="837">
        <f>IF(Indicadores[[#This Row],[Ventas]]=0,0,Indicadores[[#This Row],[EBITDA]]/Indicadores[[#This Row],[Ventas]])</f>
        <v>8.3985568145685517E-4</v>
      </c>
      <c r="P1545" s="837">
        <f>IF(Indicadores[[#This Row],[Ventas]]=0,0,Indicadores[[#This Row],[UAI]]/Indicadores[[#This Row],[Ventas]])</f>
        <v>-6.6638431073186094E-2</v>
      </c>
      <c r="Q1545" s="837">
        <f>IFERROR(Indicadores[[#This Row],[Ventas]]/Indicadores[[#This Row],[Activos totales]],0)</f>
        <v>0.29339917181340802</v>
      </c>
    </row>
    <row r="1546" spans="1:17" hidden="1" x14ac:dyDescent="0.3">
      <c r="A1546" s="13" t="str">
        <f>MID(Indicadores[[#This Row],[CIIU]],2,4)</f>
        <v>5111</v>
      </c>
      <c r="B1546" s="13" t="str">
        <f>Indicadores[[#This Row],[CIIU]]&amp;Indicadores[[#This Row],[Año]]</f>
        <v>H51112019</v>
      </c>
      <c r="C1546" s="845" t="s">
        <v>2979</v>
      </c>
      <c r="D1546" s="845" t="s">
        <v>3009</v>
      </c>
      <c r="E1546" s="843">
        <v>2019</v>
      </c>
      <c r="F1546" s="844" t="s">
        <v>3010</v>
      </c>
      <c r="G1546" s="842" t="s">
        <v>3011</v>
      </c>
      <c r="H1546" s="843" t="s">
        <v>3012</v>
      </c>
      <c r="I1546" s="842" t="s">
        <v>3013</v>
      </c>
      <c r="J1546" s="840">
        <v>488000</v>
      </c>
      <c r="K1546" s="840">
        <v>984753</v>
      </c>
      <c r="L1546" s="841">
        <v>24518170</v>
      </c>
      <c r="M1546" s="840">
        <v>9800492</v>
      </c>
      <c r="N1546" s="839">
        <f>Indicadores[[#This Row],[Ventas]]/Indicadores[[#This Row],[Activos totales]]</f>
        <v>0.39972363353382412</v>
      </c>
      <c r="O1546" s="837">
        <f>IF(Indicadores[[#This Row],[Ventas]]=0,0,Indicadores[[#This Row],[EBITDA]]/Indicadores[[#This Row],[Ventas]])</f>
        <v>0.10047995549611183</v>
      </c>
      <c r="P1546" s="837">
        <f>IF(Indicadores[[#This Row],[Ventas]]=0,0,Indicadores[[#This Row],[UAI]]/Indicadores[[#This Row],[Ventas]])</f>
        <v>4.9793418534498063E-2</v>
      </c>
      <c r="Q1546" s="837">
        <f>IFERROR(Indicadores[[#This Row],[Ventas]]/Indicadores[[#This Row],[Activos totales]],0)</f>
        <v>0.39972363353382412</v>
      </c>
    </row>
    <row r="1547" spans="1:17" hidden="1" x14ac:dyDescent="0.3">
      <c r="A1547" s="13" t="str">
        <f>MID(Indicadores[[#This Row],[CIIU]],2,4)</f>
        <v>5121</v>
      </c>
      <c r="B1547" s="13" t="str">
        <f>Indicadores[[#This Row],[CIIU]]&amp;Indicadores[[#This Row],[Año]]</f>
        <v>H51212019</v>
      </c>
      <c r="C1547" s="845" t="s">
        <v>2979</v>
      </c>
      <c r="D1547" s="845" t="s">
        <v>3009</v>
      </c>
      <c r="E1547" s="843">
        <v>2019</v>
      </c>
      <c r="F1547" s="844" t="s">
        <v>3014</v>
      </c>
      <c r="G1547" s="842" t="s">
        <v>3015</v>
      </c>
      <c r="H1547" s="843" t="s">
        <v>3016</v>
      </c>
      <c r="I1547" s="842" t="s">
        <v>3017</v>
      </c>
      <c r="J1547" s="840">
        <v>81998</v>
      </c>
      <c r="K1547" s="840">
        <v>153596</v>
      </c>
      <c r="L1547" s="841">
        <v>12105252</v>
      </c>
      <c r="M1547" s="840">
        <v>7023988</v>
      </c>
      <c r="N1547" s="839">
        <f>Indicadores[[#This Row],[Ventas]]/Indicadores[[#This Row],[Activos totales]]</f>
        <v>0.58024302178922005</v>
      </c>
      <c r="O1547" s="837">
        <f>IF(Indicadores[[#This Row],[Ventas]]=0,0,Indicadores[[#This Row],[EBITDA]]/Indicadores[[#This Row],[Ventas]])</f>
        <v>2.1867349431690372E-2</v>
      </c>
      <c r="P1547" s="837">
        <f>IF(Indicadores[[#This Row],[Ventas]]=0,0,Indicadores[[#This Row],[UAI]]/Indicadores[[#This Row],[Ventas]])</f>
        <v>1.1673994887235001E-2</v>
      </c>
      <c r="Q1547" s="837">
        <f>IFERROR(Indicadores[[#This Row],[Ventas]]/Indicadores[[#This Row],[Activos totales]],0)</f>
        <v>0.58024302178922005</v>
      </c>
    </row>
    <row r="1548" spans="1:17" hidden="1" x14ac:dyDescent="0.3">
      <c r="A1548" s="13" t="str">
        <f>MID(Indicadores[[#This Row],[CIIU]],2,4)</f>
        <v>5122</v>
      </c>
      <c r="B1548" s="13" t="str">
        <f>Indicadores[[#This Row],[CIIU]]&amp;Indicadores[[#This Row],[Año]]</f>
        <v>H51222019</v>
      </c>
      <c r="C1548" s="845" t="s">
        <v>2979</v>
      </c>
      <c r="D1548" s="845" t="s">
        <v>3009</v>
      </c>
      <c r="E1548" s="843">
        <v>2019</v>
      </c>
      <c r="F1548" s="844" t="s">
        <v>3018</v>
      </c>
      <c r="G1548" s="842" t="s">
        <v>3019</v>
      </c>
      <c r="H1548" s="843" t="s">
        <v>3020</v>
      </c>
      <c r="I1548" s="842" t="s">
        <v>3021</v>
      </c>
      <c r="J1548" s="840">
        <v>1086936</v>
      </c>
      <c r="K1548" s="840">
        <v>1674571</v>
      </c>
      <c r="L1548" s="841">
        <v>21519375</v>
      </c>
      <c r="M1548" s="840">
        <v>39501860</v>
      </c>
      <c r="N1548" s="839">
        <f>Indicadores[[#This Row],[Ventas]]/Indicadores[[#This Row],[Activos totales]]</f>
        <v>1.8356416020446691</v>
      </c>
      <c r="O1548" s="837">
        <f>IF(Indicadores[[#This Row],[Ventas]]=0,0,Indicadores[[#This Row],[EBITDA]]/Indicadores[[#This Row],[Ventas]])</f>
        <v>4.2392206341676064E-2</v>
      </c>
      <c r="P1548" s="837">
        <f>IF(Indicadores[[#This Row],[Ventas]]=0,0,Indicadores[[#This Row],[UAI]]/Indicadores[[#This Row],[Ventas]])</f>
        <v>2.7516071395119118E-2</v>
      </c>
      <c r="Q1548" s="837">
        <f>IFERROR(Indicadores[[#This Row],[Ventas]]/Indicadores[[#This Row],[Activos totales]],0)</f>
        <v>1.8356416020446691</v>
      </c>
    </row>
    <row r="1549" spans="1:17" hidden="1" x14ac:dyDescent="0.3">
      <c r="A1549" s="13" t="str">
        <f>MID(Indicadores[[#This Row],[CIIU]],2,4)</f>
        <v>5210</v>
      </c>
      <c r="B1549" s="13" t="str">
        <f>Indicadores[[#This Row],[CIIU]]&amp;Indicadores[[#This Row],[Año]]</f>
        <v>H52102019</v>
      </c>
      <c r="C1549" s="845" t="s">
        <v>2979</v>
      </c>
      <c r="D1549" s="845" t="s">
        <v>3022</v>
      </c>
      <c r="E1549" s="843">
        <v>2019</v>
      </c>
      <c r="F1549" s="844" t="s">
        <v>3023</v>
      </c>
      <c r="G1549" s="842" t="s">
        <v>3024</v>
      </c>
      <c r="H1549" s="843" t="s">
        <v>3025</v>
      </c>
      <c r="I1549" s="842" t="s">
        <v>3024</v>
      </c>
      <c r="J1549" s="840">
        <v>90959690</v>
      </c>
      <c r="K1549" s="840">
        <v>163450512</v>
      </c>
      <c r="L1549" s="841">
        <v>1648505005</v>
      </c>
      <c r="M1549" s="840">
        <v>947012608</v>
      </c>
      <c r="N1549" s="839">
        <f>Indicadores[[#This Row],[Ventas]]/Indicadores[[#This Row],[Activos totales]]</f>
        <v>0.57446753581436649</v>
      </c>
      <c r="O1549" s="837">
        <f>IF(Indicadores[[#This Row],[Ventas]]=0,0,Indicadores[[#This Row],[EBITDA]]/Indicadores[[#This Row],[Ventas]])</f>
        <v>0.17259591965221227</v>
      </c>
      <c r="P1549" s="837">
        <f>IF(Indicadores[[#This Row],[Ventas]]=0,0,Indicadores[[#This Row],[UAI]]/Indicadores[[#This Row],[Ventas]])</f>
        <v>9.6049080267366402E-2</v>
      </c>
      <c r="Q1549" s="837">
        <f>IFERROR(Indicadores[[#This Row],[Ventas]]/Indicadores[[#This Row],[Activos totales]],0)</f>
        <v>0.57446753581436649</v>
      </c>
    </row>
    <row r="1550" spans="1:17" hidden="1" x14ac:dyDescent="0.3">
      <c r="A1550" s="13" t="str">
        <f>MID(Indicadores[[#This Row],[CIIU]],2,4)</f>
        <v>5221</v>
      </c>
      <c r="B1550" s="13" t="str">
        <f>Indicadores[[#This Row],[CIIU]]&amp;Indicadores[[#This Row],[Año]]</f>
        <v>H52212019</v>
      </c>
      <c r="C1550" s="845" t="s">
        <v>2979</v>
      </c>
      <c r="D1550" s="845" t="s">
        <v>3022</v>
      </c>
      <c r="E1550" s="843">
        <v>2019</v>
      </c>
      <c r="F1550" s="844" t="s">
        <v>3026</v>
      </c>
      <c r="G1550" s="842" t="s">
        <v>3027</v>
      </c>
      <c r="H1550" s="843" t="s">
        <v>3028</v>
      </c>
      <c r="I1550" s="842" t="s">
        <v>3027</v>
      </c>
      <c r="J1550" s="840">
        <v>-3181147</v>
      </c>
      <c r="K1550" s="840">
        <v>16528677</v>
      </c>
      <c r="L1550" s="841">
        <v>558912159</v>
      </c>
      <c r="M1550" s="840">
        <v>354112928</v>
      </c>
      <c r="N1550" s="839">
        <f>Indicadores[[#This Row],[Ventas]]/Indicadores[[#This Row],[Activos totales]]</f>
        <v>0.63357528065514856</v>
      </c>
      <c r="O1550" s="837">
        <f>IF(Indicadores[[#This Row],[Ventas]]=0,0,Indicadores[[#This Row],[EBITDA]]/Indicadores[[#This Row],[Ventas]])</f>
        <v>4.6676287966532531E-2</v>
      </c>
      <c r="P1550" s="837">
        <f>IF(Indicadores[[#This Row],[Ventas]]=0,0,Indicadores[[#This Row],[UAI]]/Indicadores[[#This Row],[Ventas]])</f>
        <v>-8.9834251970603001E-3</v>
      </c>
      <c r="Q1550" s="837">
        <f>IFERROR(Indicadores[[#This Row],[Ventas]]/Indicadores[[#This Row],[Activos totales]],0)</f>
        <v>0.63357528065514856</v>
      </c>
    </row>
    <row r="1551" spans="1:17" hidden="1" x14ac:dyDescent="0.3">
      <c r="A1551" s="13" t="str">
        <f>MID(Indicadores[[#This Row],[CIIU]],2,4)</f>
        <v>5222</v>
      </c>
      <c r="B1551" s="13" t="str">
        <f>Indicadores[[#This Row],[CIIU]]&amp;Indicadores[[#This Row],[Año]]</f>
        <v>H52222019</v>
      </c>
      <c r="C1551" s="845" t="s">
        <v>2979</v>
      </c>
      <c r="D1551" s="845" t="s">
        <v>3022</v>
      </c>
      <c r="E1551" s="843">
        <v>2019</v>
      </c>
      <c r="F1551" s="844" t="s">
        <v>3029</v>
      </c>
      <c r="G1551" s="842" t="s">
        <v>3030</v>
      </c>
      <c r="H1551" s="843" t="s">
        <v>3031</v>
      </c>
      <c r="I1551" s="842" t="s">
        <v>3030</v>
      </c>
      <c r="J1551" s="840">
        <v>3768002</v>
      </c>
      <c r="K1551" s="840">
        <v>6697984</v>
      </c>
      <c r="L1551" s="841">
        <v>160278814</v>
      </c>
      <c r="M1551" s="840">
        <v>42538529</v>
      </c>
      <c r="N1551" s="839">
        <f>Indicadores[[#This Row],[Ventas]]/Indicadores[[#This Row],[Activos totales]]</f>
        <v>0.2654033177460372</v>
      </c>
      <c r="O1551" s="837">
        <f>IF(Indicadores[[#This Row],[Ventas]]=0,0,Indicadores[[#This Row],[EBITDA]]/Indicadores[[#This Row],[Ventas]])</f>
        <v>0.15745687868050162</v>
      </c>
      <c r="P1551" s="837">
        <f>IF(Indicadores[[#This Row],[Ventas]]=0,0,Indicadores[[#This Row],[UAI]]/Indicadores[[#This Row],[Ventas]])</f>
        <v>8.8578568384440379E-2</v>
      </c>
      <c r="Q1551" s="837">
        <f>IFERROR(Indicadores[[#This Row],[Ventas]]/Indicadores[[#This Row],[Activos totales]],0)</f>
        <v>0.2654033177460372</v>
      </c>
    </row>
    <row r="1552" spans="1:17" hidden="1" x14ac:dyDescent="0.3">
      <c r="A1552" s="13" t="str">
        <f>MID(Indicadores[[#This Row],[CIIU]],2,4)</f>
        <v>5223</v>
      </c>
      <c r="B1552" s="13" t="str">
        <f>Indicadores[[#This Row],[CIIU]]&amp;Indicadores[[#This Row],[Año]]</f>
        <v>H52232019</v>
      </c>
      <c r="C1552" s="845" t="s">
        <v>2979</v>
      </c>
      <c r="D1552" s="845" t="s">
        <v>3022</v>
      </c>
      <c r="E1552" s="843">
        <v>2019</v>
      </c>
      <c r="F1552" s="844" t="s">
        <v>3032</v>
      </c>
      <c r="G1552" s="842" t="s">
        <v>3033</v>
      </c>
      <c r="H1552" s="843" t="s">
        <v>3034</v>
      </c>
      <c r="I1552" s="842" t="s">
        <v>3033</v>
      </c>
      <c r="J1552" s="840">
        <v>50687339</v>
      </c>
      <c r="K1552" s="840">
        <v>85177254</v>
      </c>
      <c r="L1552" s="841">
        <v>556531487</v>
      </c>
      <c r="M1552" s="840">
        <v>476900755</v>
      </c>
      <c r="N1552" s="839">
        <f>Indicadores[[#This Row],[Ventas]]/Indicadores[[#This Row],[Activos totales]]</f>
        <v>0.85691603465375898</v>
      </c>
      <c r="O1552" s="837">
        <f>IF(Indicadores[[#This Row],[Ventas]]=0,0,Indicadores[[#This Row],[EBITDA]]/Indicadores[[#This Row],[Ventas]])</f>
        <v>0.17860582753742968</v>
      </c>
      <c r="P1552" s="837">
        <f>IF(Indicadores[[#This Row],[Ventas]]=0,0,Indicadores[[#This Row],[UAI]]/Indicadores[[#This Row],[Ventas]])</f>
        <v>0.10628487891574002</v>
      </c>
      <c r="Q1552" s="837">
        <f>IFERROR(Indicadores[[#This Row],[Ventas]]/Indicadores[[#This Row],[Activos totales]],0)</f>
        <v>0.85691603465375898</v>
      </c>
    </row>
    <row r="1553" spans="1:17" hidden="1" x14ac:dyDescent="0.3">
      <c r="A1553" s="13" t="str">
        <f>MID(Indicadores[[#This Row],[CIIU]],2,4)</f>
        <v>5224</v>
      </c>
      <c r="B1553" s="13" t="str">
        <f>Indicadores[[#This Row],[CIIU]]&amp;Indicadores[[#This Row],[Año]]</f>
        <v>H52242019</v>
      </c>
      <c r="C1553" s="845" t="s">
        <v>2979</v>
      </c>
      <c r="D1553" s="845" t="s">
        <v>3022</v>
      </c>
      <c r="E1553" s="843">
        <v>2019</v>
      </c>
      <c r="F1553" s="844" t="s">
        <v>3035</v>
      </c>
      <c r="G1553" s="842" t="s">
        <v>3036</v>
      </c>
      <c r="H1553" s="843" t="s">
        <v>3037</v>
      </c>
      <c r="I1553" s="842" t="s">
        <v>3036</v>
      </c>
      <c r="J1553" s="840">
        <v>25762829</v>
      </c>
      <c r="K1553" s="840">
        <v>30342677</v>
      </c>
      <c r="L1553" s="841">
        <v>672873190</v>
      </c>
      <c r="M1553" s="840">
        <v>258495157</v>
      </c>
      <c r="N1553" s="839">
        <f>Indicadores[[#This Row],[Ventas]]/Indicadores[[#This Row],[Activos totales]]</f>
        <v>0.3841662304898788</v>
      </c>
      <c r="O1553" s="837">
        <f>IF(Indicadores[[#This Row],[Ventas]]=0,0,Indicadores[[#This Row],[EBITDA]]/Indicadores[[#This Row],[Ventas]])</f>
        <v>0.11738199412378159</v>
      </c>
      <c r="P1553" s="837">
        <f>IF(Indicadores[[#This Row],[Ventas]]=0,0,Indicadores[[#This Row],[UAI]]/Indicadores[[#This Row],[Ventas]])</f>
        <v>9.9664648649490942E-2</v>
      </c>
      <c r="Q1553" s="837">
        <f>IFERROR(Indicadores[[#This Row],[Ventas]]/Indicadores[[#This Row],[Activos totales]],0)</f>
        <v>0.3841662304898788</v>
      </c>
    </row>
    <row r="1554" spans="1:17" hidden="1" x14ac:dyDescent="0.3">
      <c r="A1554" s="13" t="str">
        <f>MID(Indicadores[[#This Row],[CIIU]],2,4)</f>
        <v>5229</v>
      </c>
      <c r="B1554" s="13" t="str">
        <f>Indicadores[[#This Row],[CIIU]]&amp;Indicadores[[#This Row],[Año]]</f>
        <v>H52292019</v>
      </c>
      <c r="C1554" s="845" t="s">
        <v>2979</v>
      </c>
      <c r="D1554" s="845" t="s">
        <v>3022</v>
      </c>
      <c r="E1554" s="843">
        <v>2019</v>
      </c>
      <c r="F1554" s="844" t="s">
        <v>3038</v>
      </c>
      <c r="G1554" s="842" t="s">
        <v>3039</v>
      </c>
      <c r="H1554" s="843" t="s">
        <v>3040</v>
      </c>
      <c r="I1554" s="842" t="s">
        <v>3039</v>
      </c>
      <c r="J1554" s="840">
        <v>269480355</v>
      </c>
      <c r="K1554" s="840">
        <v>310941872</v>
      </c>
      <c r="L1554" s="841">
        <v>2742285837</v>
      </c>
      <c r="M1554" s="840">
        <v>3189181001</v>
      </c>
      <c r="N1554" s="839">
        <f>Indicadores[[#This Row],[Ventas]]/Indicadores[[#This Row],[Activos totales]]</f>
        <v>1.1629644721824088</v>
      </c>
      <c r="O1554" s="837">
        <f>IF(Indicadores[[#This Row],[Ventas]]=0,0,Indicadores[[#This Row],[EBITDA]]/Indicadores[[#This Row],[Ventas]])</f>
        <v>9.749897290323159E-2</v>
      </c>
      <c r="P1554" s="837">
        <f>IF(Indicadores[[#This Row],[Ventas]]=0,0,Indicadores[[#This Row],[UAI]]/Indicadores[[#This Row],[Ventas]])</f>
        <v>8.4498294363192838E-2</v>
      </c>
      <c r="Q1554" s="837">
        <f>IFERROR(Indicadores[[#This Row],[Ventas]]/Indicadores[[#This Row],[Activos totales]],0)</f>
        <v>1.1629644721824088</v>
      </c>
    </row>
    <row r="1555" spans="1:17" hidden="1" x14ac:dyDescent="0.3">
      <c r="A1555" s="13" t="str">
        <f>MID(Indicadores[[#This Row],[CIIU]],2,4)</f>
        <v>5310</v>
      </c>
      <c r="B1555" s="13" t="str">
        <f>Indicadores[[#This Row],[CIIU]]&amp;Indicadores[[#This Row],[Año]]</f>
        <v>H53102019</v>
      </c>
      <c r="C1555" s="845" t="s">
        <v>2979</v>
      </c>
      <c r="D1555" s="845" t="s">
        <v>3041</v>
      </c>
      <c r="E1555" s="843">
        <v>2019</v>
      </c>
      <c r="F1555" s="844" t="s">
        <v>3042</v>
      </c>
      <c r="G1555" s="842" t="s">
        <v>3043</v>
      </c>
      <c r="H1555" s="843" t="s">
        <v>3044</v>
      </c>
      <c r="I1555" s="842" t="s">
        <v>3043</v>
      </c>
      <c r="J1555" s="840">
        <v>15984797</v>
      </c>
      <c r="K1555" s="840">
        <v>18231322</v>
      </c>
      <c r="L1555" s="841">
        <v>142258460</v>
      </c>
      <c r="M1555" s="840">
        <v>101418795</v>
      </c>
      <c r="N1555" s="839">
        <f>Indicadores[[#This Row],[Ventas]]/Indicadores[[#This Row],[Activos totales]]</f>
        <v>0.71291925274602297</v>
      </c>
      <c r="O1555" s="837">
        <f>IF(Indicadores[[#This Row],[Ventas]]=0,0,Indicadores[[#This Row],[EBITDA]]/Indicadores[[#This Row],[Ventas]])</f>
        <v>0.1797627550199152</v>
      </c>
      <c r="P1555" s="837">
        <f>IF(Indicadores[[#This Row],[Ventas]]=0,0,Indicadores[[#This Row],[UAI]]/Indicadores[[#This Row],[Ventas]])</f>
        <v>0.15761178191872621</v>
      </c>
      <c r="Q1555" s="837">
        <f>IFERROR(Indicadores[[#This Row],[Ventas]]/Indicadores[[#This Row],[Activos totales]],0)</f>
        <v>0.71291925274602297</v>
      </c>
    </row>
    <row r="1556" spans="1:17" hidden="1" x14ac:dyDescent="0.3">
      <c r="A1556" s="13" t="str">
        <f>MID(Indicadores[[#This Row],[CIIU]],2,4)</f>
        <v>5320</v>
      </c>
      <c r="B1556" s="13" t="str">
        <f>Indicadores[[#This Row],[CIIU]]&amp;Indicadores[[#This Row],[Año]]</f>
        <v>H53202019</v>
      </c>
      <c r="C1556" s="845" t="s">
        <v>2979</v>
      </c>
      <c r="D1556" s="845" t="s">
        <v>3041</v>
      </c>
      <c r="E1556" s="843">
        <v>2019</v>
      </c>
      <c r="F1556" s="844" t="s">
        <v>3045</v>
      </c>
      <c r="G1556" s="842" t="s">
        <v>3046</v>
      </c>
      <c r="H1556" s="843" t="s">
        <v>3047</v>
      </c>
      <c r="I1556" s="842" t="s">
        <v>3046</v>
      </c>
      <c r="J1556" s="840">
        <v>14008081</v>
      </c>
      <c r="K1556" s="840">
        <v>15892792</v>
      </c>
      <c r="L1556" s="841">
        <v>172828414</v>
      </c>
      <c r="M1556" s="840">
        <v>282929845</v>
      </c>
      <c r="N1556" s="839">
        <f>Indicadores[[#This Row],[Ventas]]/Indicadores[[#This Row],[Activos totales]]</f>
        <v>1.6370563060307897</v>
      </c>
      <c r="O1556" s="837">
        <f>IF(Indicadores[[#This Row],[Ventas]]=0,0,Indicadores[[#This Row],[EBITDA]]/Indicadores[[#This Row],[Ventas]])</f>
        <v>5.6172200567953516E-2</v>
      </c>
      <c r="P1556" s="837">
        <f>IF(Indicadores[[#This Row],[Ventas]]=0,0,Indicadores[[#This Row],[UAI]]/Indicadores[[#This Row],[Ventas]])</f>
        <v>4.9510793037758176E-2</v>
      </c>
      <c r="Q1556" s="837">
        <f>IFERROR(Indicadores[[#This Row],[Ventas]]/Indicadores[[#This Row],[Activos totales]],0)</f>
        <v>1.6370563060307897</v>
      </c>
    </row>
    <row r="1557" spans="1:17" hidden="1" x14ac:dyDescent="0.3">
      <c r="A1557" s="13" t="str">
        <f>MID(Indicadores[[#This Row],[CIIU]],2,4)</f>
        <v>5511</v>
      </c>
      <c r="B1557" s="13" t="str">
        <f>Indicadores[[#This Row],[CIIU]]&amp;Indicadores[[#This Row],[Año]]</f>
        <v>I55112019</v>
      </c>
      <c r="C1557" s="845" t="s">
        <v>3048</v>
      </c>
      <c r="D1557" s="845" t="s">
        <v>3049</v>
      </c>
      <c r="E1557" s="843">
        <v>2019</v>
      </c>
      <c r="F1557" s="844" t="s">
        <v>3050</v>
      </c>
      <c r="G1557" s="842" t="s">
        <v>3051</v>
      </c>
      <c r="H1557" s="843" t="s">
        <v>3052</v>
      </c>
      <c r="I1557" s="842" t="s">
        <v>3053</v>
      </c>
      <c r="J1557" s="840">
        <v>230789676</v>
      </c>
      <c r="K1557" s="840">
        <v>392969520</v>
      </c>
      <c r="L1557" s="841">
        <v>11471049647</v>
      </c>
      <c r="M1557" s="840">
        <v>3106010229</v>
      </c>
      <c r="N1557" s="839">
        <f>Indicadores[[#This Row],[Ventas]]/Indicadores[[#This Row],[Activos totales]]</f>
        <v>0.27076948706366277</v>
      </c>
      <c r="O1557" s="837">
        <f>IF(Indicadores[[#This Row],[Ventas]]=0,0,Indicadores[[#This Row],[EBITDA]]/Indicadores[[#This Row],[Ventas]])</f>
        <v>0.12651906820233463</v>
      </c>
      <c r="P1557" s="837">
        <f>IF(Indicadores[[#This Row],[Ventas]]=0,0,Indicadores[[#This Row],[UAI]]/Indicadores[[#This Row],[Ventas]])</f>
        <v>7.4304222775951459E-2</v>
      </c>
      <c r="Q1557" s="837">
        <f>IFERROR(Indicadores[[#This Row],[Ventas]]/Indicadores[[#This Row],[Activos totales]],0)</f>
        <v>0.27076948706366277</v>
      </c>
    </row>
    <row r="1558" spans="1:17" hidden="1" x14ac:dyDescent="0.3">
      <c r="A1558" s="13" t="str">
        <f>MID(Indicadores[[#This Row],[CIIU]],2,4)</f>
        <v>5512</v>
      </c>
      <c r="B1558" s="13" t="str">
        <f>Indicadores[[#This Row],[CIIU]]&amp;Indicadores[[#This Row],[Año]]</f>
        <v>I55122019</v>
      </c>
      <c r="C1558" s="845" t="s">
        <v>3048</v>
      </c>
      <c r="D1558" s="845" t="s">
        <v>3049</v>
      </c>
      <c r="E1558" s="843">
        <v>2019</v>
      </c>
      <c r="F1558" s="844" t="s">
        <v>3054</v>
      </c>
      <c r="G1558" s="842" t="s">
        <v>3055</v>
      </c>
      <c r="H1558" s="843" t="s">
        <v>3056</v>
      </c>
      <c r="I1558" s="842" t="s">
        <v>3055</v>
      </c>
      <c r="J1558" s="840">
        <v>7847</v>
      </c>
      <c r="K1558" s="840">
        <v>713068</v>
      </c>
      <c r="L1558" s="841">
        <v>113470237</v>
      </c>
      <c r="M1558" s="840">
        <v>9037934</v>
      </c>
      <c r="N1558" s="839">
        <f>Indicadores[[#This Row],[Ventas]]/Indicadores[[#This Row],[Activos totales]]</f>
        <v>7.9650261063612657E-2</v>
      </c>
      <c r="O1558" s="837">
        <f>IF(Indicadores[[#This Row],[Ventas]]=0,0,Indicadores[[#This Row],[EBITDA]]/Indicadores[[#This Row],[Ventas]])</f>
        <v>7.8897234699877208E-2</v>
      </c>
      <c r="P1558" s="837">
        <f>IF(Indicadores[[#This Row],[Ventas]]=0,0,Indicadores[[#This Row],[UAI]]/Indicadores[[#This Row],[Ventas]])</f>
        <v>8.6822939844437904E-4</v>
      </c>
      <c r="Q1558" s="837">
        <f>IFERROR(Indicadores[[#This Row],[Ventas]]/Indicadores[[#This Row],[Activos totales]],0)</f>
        <v>7.9650261063612657E-2</v>
      </c>
    </row>
    <row r="1559" spans="1:17" hidden="1" x14ac:dyDescent="0.3">
      <c r="A1559" s="13" t="str">
        <f>MID(Indicadores[[#This Row],[CIIU]],2,4)</f>
        <v>5513</v>
      </c>
      <c r="B1559" s="13" t="str">
        <f>Indicadores[[#This Row],[CIIU]]&amp;Indicadores[[#This Row],[Año]]</f>
        <v>I55132019</v>
      </c>
      <c r="C1559" s="845" t="s">
        <v>3048</v>
      </c>
      <c r="D1559" s="845" t="s">
        <v>3049</v>
      </c>
      <c r="E1559" s="843">
        <v>2019</v>
      </c>
      <c r="F1559" s="844" t="s">
        <v>3057</v>
      </c>
      <c r="G1559" s="842" t="s">
        <v>3058</v>
      </c>
      <c r="H1559" s="843" t="s">
        <v>3059</v>
      </c>
      <c r="I1559" s="842" t="s">
        <v>3060</v>
      </c>
      <c r="J1559" s="840">
        <v>2048899</v>
      </c>
      <c r="K1559" s="840">
        <v>2597430</v>
      </c>
      <c r="L1559" s="841">
        <v>38602864</v>
      </c>
      <c r="M1559" s="840">
        <v>15035301</v>
      </c>
      <c r="N1559" s="839">
        <f>Indicadores[[#This Row],[Ventas]]/Indicadores[[#This Row],[Activos totales]]</f>
        <v>0.38948667124801933</v>
      </c>
      <c r="O1559" s="837">
        <f>IF(Indicadores[[#This Row],[Ventas]]=0,0,Indicadores[[#This Row],[EBITDA]]/Indicadores[[#This Row],[Ventas]])</f>
        <v>0.17275543735373172</v>
      </c>
      <c r="P1559" s="837">
        <f>IF(Indicadores[[#This Row],[Ventas]]=0,0,Indicadores[[#This Row],[UAI]]/Indicadores[[#This Row],[Ventas]])</f>
        <v>0.13627256281733235</v>
      </c>
      <c r="Q1559" s="837">
        <f>IFERROR(Indicadores[[#This Row],[Ventas]]/Indicadores[[#This Row],[Activos totales]],0)</f>
        <v>0.38948667124801933</v>
      </c>
    </row>
    <row r="1560" spans="1:17" hidden="1" x14ac:dyDescent="0.3">
      <c r="A1560" s="13" t="str">
        <f>MID(Indicadores[[#This Row],[CIIU]],2,4)</f>
        <v>5519</v>
      </c>
      <c r="B1560" s="13" t="str">
        <f>Indicadores[[#This Row],[CIIU]]&amp;Indicadores[[#This Row],[Año]]</f>
        <v>I55192019</v>
      </c>
      <c r="C1560" s="845" t="s">
        <v>3048</v>
      </c>
      <c r="D1560" s="845" t="s">
        <v>3049</v>
      </c>
      <c r="E1560" s="843">
        <v>2019</v>
      </c>
      <c r="F1560" s="844" t="s">
        <v>3061</v>
      </c>
      <c r="G1560" s="842" t="s">
        <v>3062</v>
      </c>
      <c r="H1560" s="843" t="s">
        <v>3063</v>
      </c>
      <c r="I1560" s="842" t="s">
        <v>3062</v>
      </c>
      <c r="J1560" s="840">
        <v>155590</v>
      </c>
      <c r="K1560" s="840">
        <v>155590</v>
      </c>
      <c r="L1560" s="841">
        <v>8378666</v>
      </c>
      <c r="M1560" s="840">
        <v>379167</v>
      </c>
      <c r="N1560" s="839">
        <f>Indicadores[[#This Row],[Ventas]]/Indicadores[[#This Row],[Activos totales]]</f>
        <v>4.5253862607722996E-2</v>
      </c>
      <c r="O1560" s="837">
        <f>IF(Indicadores[[#This Row],[Ventas]]=0,0,Indicadores[[#This Row],[EBITDA]]/Indicadores[[#This Row],[Ventas]])</f>
        <v>0.41034689200273233</v>
      </c>
      <c r="P1560" s="837">
        <f>IF(Indicadores[[#This Row],[Ventas]]=0,0,Indicadores[[#This Row],[UAI]]/Indicadores[[#This Row],[Ventas]])</f>
        <v>0.41034689200273233</v>
      </c>
      <c r="Q1560" s="837">
        <f>IFERROR(Indicadores[[#This Row],[Ventas]]/Indicadores[[#This Row],[Activos totales]],0)</f>
        <v>4.5253862607722996E-2</v>
      </c>
    </row>
    <row r="1561" spans="1:17" hidden="1" x14ac:dyDescent="0.3">
      <c r="A1561" s="13" t="str">
        <f>MID(Indicadores[[#This Row],[CIIU]],2,4)</f>
        <v>5530</v>
      </c>
      <c r="B1561" s="13" t="str">
        <f>Indicadores[[#This Row],[CIIU]]&amp;Indicadores[[#This Row],[Año]]</f>
        <v>I55302019</v>
      </c>
      <c r="C1561" s="845" t="s">
        <v>3048</v>
      </c>
      <c r="D1561" s="845" t="s">
        <v>3049</v>
      </c>
      <c r="E1561" s="843">
        <v>2019</v>
      </c>
      <c r="F1561" s="844" t="s">
        <v>3064</v>
      </c>
      <c r="G1561" s="842" t="s">
        <v>3065</v>
      </c>
      <c r="H1561" s="843" t="s">
        <v>3066</v>
      </c>
      <c r="I1561" s="842" t="s">
        <v>3067</v>
      </c>
      <c r="J1561" s="840">
        <v>1861868</v>
      </c>
      <c r="K1561" s="840">
        <v>3663287</v>
      </c>
      <c r="L1561" s="841">
        <v>107031129</v>
      </c>
      <c r="M1561" s="840">
        <v>25340091</v>
      </c>
      <c r="N1561" s="839">
        <f>Indicadores[[#This Row],[Ventas]]/Indicadores[[#This Row],[Activos totales]]</f>
        <v>0.23675440254395522</v>
      </c>
      <c r="O1561" s="837">
        <f>IF(Indicadores[[#This Row],[Ventas]]=0,0,Indicadores[[#This Row],[EBITDA]]/Indicadores[[#This Row],[Ventas]])</f>
        <v>0.14456487153104541</v>
      </c>
      <c r="P1561" s="837">
        <f>IF(Indicadores[[#This Row],[Ventas]]=0,0,Indicadores[[#This Row],[UAI]]/Indicadores[[#This Row],[Ventas]])</f>
        <v>7.3475189966760571E-2</v>
      </c>
      <c r="Q1561" s="837">
        <f>IFERROR(Indicadores[[#This Row],[Ventas]]/Indicadores[[#This Row],[Activos totales]],0)</f>
        <v>0.23675440254395522</v>
      </c>
    </row>
    <row r="1562" spans="1:17" hidden="1" x14ac:dyDescent="0.3">
      <c r="A1562" s="13" t="str">
        <f>MID(Indicadores[[#This Row],[CIIU]],2,4)</f>
        <v>5590</v>
      </c>
      <c r="B1562" s="13" t="str">
        <f>Indicadores[[#This Row],[CIIU]]&amp;Indicadores[[#This Row],[Año]]</f>
        <v>I55902019</v>
      </c>
      <c r="C1562" s="845" t="s">
        <v>3048</v>
      </c>
      <c r="D1562" s="845" t="s">
        <v>3049</v>
      </c>
      <c r="E1562" s="843">
        <v>2019</v>
      </c>
      <c r="F1562" s="844" t="s">
        <v>3068</v>
      </c>
      <c r="G1562" s="842" t="s">
        <v>3069</v>
      </c>
      <c r="H1562" s="843" t="s">
        <v>3070</v>
      </c>
      <c r="I1562" s="842" t="s">
        <v>3069</v>
      </c>
      <c r="J1562" s="840">
        <v>10428755</v>
      </c>
      <c r="K1562" s="840">
        <v>11835630</v>
      </c>
      <c r="L1562" s="841">
        <v>86788471</v>
      </c>
      <c r="M1562" s="840">
        <v>42575658</v>
      </c>
      <c r="N1562" s="839">
        <f>Indicadores[[#This Row],[Ventas]]/Indicadores[[#This Row],[Activos totales]]</f>
        <v>0.49056813087535556</v>
      </c>
      <c r="O1562" s="837">
        <f>IF(Indicadores[[#This Row],[Ventas]]=0,0,Indicadores[[#This Row],[EBITDA]]/Indicadores[[#This Row],[Ventas]])</f>
        <v>0.27799053628249271</v>
      </c>
      <c r="P1562" s="837">
        <f>IF(Indicadores[[#This Row],[Ventas]]=0,0,Indicadores[[#This Row],[UAI]]/Indicadores[[#This Row],[Ventas]])</f>
        <v>0.24494641985333498</v>
      </c>
      <c r="Q1562" s="837">
        <f>IFERROR(Indicadores[[#This Row],[Ventas]]/Indicadores[[#This Row],[Activos totales]],0)</f>
        <v>0.49056813087535556</v>
      </c>
    </row>
    <row r="1563" spans="1:17" hidden="1" x14ac:dyDescent="0.3">
      <c r="A1563" s="13" t="str">
        <f>MID(Indicadores[[#This Row],[CIIU]],2,4)</f>
        <v>5611</v>
      </c>
      <c r="B1563" s="13" t="str">
        <f>Indicadores[[#This Row],[CIIU]]&amp;Indicadores[[#This Row],[Año]]</f>
        <v>I56112019</v>
      </c>
      <c r="C1563" s="845" t="s">
        <v>3048</v>
      </c>
      <c r="D1563" s="845" t="s">
        <v>3071</v>
      </c>
      <c r="E1563" s="843">
        <v>2019</v>
      </c>
      <c r="F1563" s="844" t="s">
        <v>3072</v>
      </c>
      <c r="G1563" s="842" t="s">
        <v>3073</v>
      </c>
      <c r="H1563" s="843" t="s">
        <v>3074</v>
      </c>
      <c r="I1563" s="842" t="s">
        <v>3073</v>
      </c>
      <c r="J1563" s="840">
        <v>134293368</v>
      </c>
      <c r="K1563" s="840">
        <v>334226416</v>
      </c>
      <c r="L1563" s="841">
        <v>3499421187</v>
      </c>
      <c r="M1563" s="840">
        <v>4417264818</v>
      </c>
      <c r="N1563" s="839">
        <f>Indicadores[[#This Row],[Ventas]]/Indicadores[[#This Row],[Activos totales]]</f>
        <v>1.2622844127507993</v>
      </c>
      <c r="O1563" s="837">
        <f>IF(Indicadores[[#This Row],[Ventas]]=0,0,Indicadores[[#This Row],[EBITDA]]/Indicadores[[#This Row],[Ventas]])</f>
        <v>7.5663658343066542E-2</v>
      </c>
      <c r="P1563" s="837">
        <f>IF(Indicadores[[#This Row],[Ventas]]=0,0,Indicadores[[#This Row],[UAI]]/Indicadores[[#This Row],[Ventas]])</f>
        <v>3.0401928236850392E-2</v>
      </c>
      <c r="Q1563" s="837">
        <f>IFERROR(Indicadores[[#This Row],[Ventas]]/Indicadores[[#This Row],[Activos totales]],0)</f>
        <v>1.2622844127507993</v>
      </c>
    </row>
    <row r="1564" spans="1:17" hidden="1" x14ac:dyDescent="0.3">
      <c r="A1564" s="13" t="str">
        <f>MID(Indicadores[[#This Row],[CIIU]],2,4)</f>
        <v>5612</v>
      </c>
      <c r="B1564" s="13" t="str">
        <f>Indicadores[[#This Row],[CIIU]]&amp;Indicadores[[#This Row],[Año]]</f>
        <v>I56122019</v>
      </c>
      <c r="C1564" s="845" t="s">
        <v>3048</v>
      </c>
      <c r="D1564" s="845" t="s">
        <v>3071</v>
      </c>
      <c r="E1564" s="843">
        <v>2019</v>
      </c>
      <c r="F1564" s="844" t="s">
        <v>3075</v>
      </c>
      <c r="G1564" s="842" t="s">
        <v>3076</v>
      </c>
      <c r="H1564" s="843" t="s">
        <v>3077</v>
      </c>
      <c r="I1564" s="842" t="s">
        <v>3076</v>
      </c>
      <c r="J1564" s="840">
        <v>23173756</v>
      </c>
      <c r="K1564" s="840">
        <v>44606758</v>
      </c>
      <c r="L1564" s="841">
        <v>397903254</v>
      </c>
      <c r="M1564" s="840">
        <v>828293054</v>
      </c>
      <c r="N1564" s="839">
        <f>Indicadores[[#This Row],[Ventas]]/Indicadores[[#This Row],[Activos totales]]</f>
        <v>2.0816443335746131</v>
      </c>
      <c r="O1564" s="837">
        <f>IF(Indicadores[[#This Row],[Ventas]]=0,0,Indicadores[[#This Row],[EBITDA]]/Indicadores[[#This Row],[Ventas]])</f>
        <v>5.3853835649815794E-2</v>
      </c>
      <c r="P1564" s="837">
        <f>IF(Indicadores[[#This Row],[Ventas]]=0,0,Indicadores[[#This Row],[UAI]]/Indicadores[[#This Row],[Ventas]])</f>
        <v>2.7977725864160152E-2</v>
      </c>
      <c r="Q1564" s="837">
        <f>IFERROR(Indicadores[[#This Row],[Ventas]]/Indicadores[[#This Row],[Activos totales]],0)</f>
        <v>2.0816443335746131</v>
      </c>
    </row>
    <row r="1565" spans="1:17" hidden="1" x14ac:dyDescent="0.3">
      <c r="A1565" s="13" t="str">
        <f>MID(Indicadores[[#This Row],[CIIU]],2,4)</f>
        <v>5613</v>
      </c>
      <c r="B1565" s="13" t="str">
        <f>Indicadores[[#This Row],[CIIU]]&amp;Indicadores[[#This Row],[Año]]</f>
        <v>I56132019</v>
      </c>
      <c r="C1565" s="845" t="s">
        <v>3048</v>
      </c>
      <c r="D1565" s="845" t="s">
        <v>3071</v>
      </c>
      <c r="E1565" s="843">
        <v>2019</v>
      </c>
      <c r="F1565" s="844" t="s">
        <v>3078</v>
      </c>
      <c r="G1565" s="842" t="s">
        <v>3079</v>
      </c>
      <c r="H1565" s="843" t="s">
        <v>3080</v>
      </c>
      <c r="I1565" s="842" t="s">
        <v>3079</v>
      </c>
      <c r="J1565" s="840">
        <v>-59961415</v>
      </c>
      <c r="K1565" s="840">
        <v>-7259664</v>
      </c>
      <c r="L1565" s="841">
        <v>408202759</v>
      </c>
      <c r="M1565" s="840">
        <v>354758114</v>
      </c>
      <c r="N1565" s="839">
        <f>Indicadores[[#This Row],[Ventas]]/Indicadores[[#This Row],[Activos totales]]</f>
        <v>0.86907328815972062</v>
      </c>
      <c r="O1565" s="837">
        <f>IF(Indicadores[[#This Row],[Ventas]]=0,0,Indicadores[[#This Row],[EBITDA]]/Indicadores[[#This Row],[Ventas]])</f>
        <v>-2.0463701078307119E-2</v>
      </c>
      <c r="P1565" s="837">
        <f>IF(Indicadores[[#This Row],[Ventas]]=0,0,Indicadores[[#This Row],[UAI]]/Indicadores[[#This Row],[Ventas]])</f>
        <v>-0.16902055973834612</v>
      </c>
      <c r="Q1565" s="837">
        <f>IFERROR(Indicadores[[#This Row],[Ventas]]/Indicadores[[#This Row],[Activos totales]],0)</f>
        <v>0.86907328815972062</v>
      </c>
    </row>
    <row r="1566" spans="1:17" hidden="1" x14ac:dyDescent="0.3">
      <c r="A1566" s="13" t="str">
        <f>MID(Indicadores[[#This Row],[CIIU]],2,4)</f>
        <v>5619</v>
      </c>
      <c r="B1566" s="13" t="str">
        <f>Indicadores[[#This Row],[CIIU]]&amp;Indicadores[[#This Row],[Año]]</f>
        <v>I56192019</v>
      </c>
      <c r="C1566" s="845" t="s">
        <v>3048</v>
      </c>
      <c r="D1566" s="845" t="s">
        <v>3071</v>
      </c>
      <c r="E1566" s="843">
        <v>2019</v>
      </c>
      <c r="F1566" s="844" t="s">
        <v>3081</v>
      </c>
      <c r="G1566" s="842" t="s">
        <v>3082</v>
      </c>
      <c r="H1566" s="843" t="s">
        <v>3083</v>
      </c>
      <c r="I1566" s="842" t="s">
        <v>3082</v>
      </c>
      <c r="J1566" s="840">
        <v>49505869</v>
      </c>
      <c r="K1566" s="840">
        <v>94421756</v>
      </c>
      <c r="L1566" s="841">
        <v>569158876</v>
      </c>
      <c r="M1566" s="840">
        <v>895293638</v>
      </c>
      <c r="N1566" s="839">
        <f>Indicadores[[#This Row],[Ventas]]/Indicadores[[#This Row],[Activos totales]]</f>
        <v>1.5730118175298384</v>
      </c>
      <c r="O1566" s="837">
        <f>IF(Indicadores[[#This Row],[Ventas]]=0,0,Indicadores[[#This Row],[EBITDA]]/Indicadores[[#This Row],[Ventas]])</f>
        <v>0.10546456714573459</v>
      </c>
      <c r="P1566" s="837">
        <f>IF(Indicadores[[#This Row],[Ventas]]=0,0,Indicadores[[#This Row],[UAI]]/Indicadores[[#This Row],[Ventas]])</f>
        <v>5.5295678310181402E-2</v>
      </c>
      <c r="Q1566" s="837">
        <f>IFERROR(Indicadores[[#This Row],[Ventas]]/Indicadores[[#This Row],[Activos totales]],0)</f>
        <v>1.5730118175298384</v>
      </c>
    </row>
    <row r="1567" spans="1:17" hidden="1" x14ac:dyDescent="0.3">
      <c r="A1567" s="13" t="str">
        <f>MID(Indicadores[[#This Row],[CIIU]],2,4)</f>
        <v>5621</v>
      </c>
      <c r="B1567" s="13" t="str">
        <f>Indicadores[[#This Row],[CIIU]]&amp;Indicadores[[#This Row],[Año]]</f>
        <v>I56212019</v>
      </c>
      <c r="C1567" s="845" t="s">
        <v>3048</v>
      </c>
      <c r="D1567" s="845" t="s">
        <v>3071</v>
      </c>
      <c r="E1567" s="843">
        <v>2019</v>
      </c>
      <c r="F1567" s="844" t="s">
        <v>3084</v>
      </c>
      <c r="G1567" s="842" t="s">
        <v>3085</v>
      </c>
      <c r="H1567" s="843" t="s">
        <v>3086</v>
      </c>
      <c r="I1567" s="842" t="s">
        <v>3085</v>
      </c>
      <c r="J1567" s="840">
        <v>5342277</v>
      </c>
      <c r="K1567" s="840">
        <v>8812008</v>
      </c>
      <c r="L1567" s="841">
        <v>153035165</v>
      </c>
      <c r="M1567" s="840">
        <v>201344757</v>
      </c>
      <c r="N1567" s="839">
        <f>Indicadores[[#This Row],[Ventas]]/Indicadores[[#This Row],[Activos totales]]</f>
        <v>1.3156764133263097</v>
      </c>
      <c r="O1567" s="837">
        <f>IF(Indicadores[[#This Row],[Ventas]]=0,0,Indicadores[[#This Row],[EBITDA]]/Indicadores[[#This Row],[Ventas]])</f>
        <v>4.3765768383032692E-2</v>
      </c>
      <c r="P1567" s="837">
        <f>IF(Indicadores[[#This Row],[Ventas]]=0,0,Indicadores[[#This Row],[UAI]]/Indicadores[[#This Row],[Ventas]])</f>
        <v>2.6532982927387577E-2</v>
      </c>
      <c r="Q1567" s="837">
        <f>IFERROR(Indicadores[[#This Row],[Ventas]]/Indicadores[[#This Row],[Activos totales]],0)</f>
        <v>1.3156764133263097</v>
      </c>
    </row>
    <row r="1568" spans="1:17" hidden="1" x14ac:dyDescent="0.3">
      <c r="A1568" s="13" t="str">
        <f>MID(Indicadores[[#This Row],[CIIU]],2,4)</f>
        <v>5629</v>
      </c>
      <c r="B1568" s="13" t="str">
        <f>Indicadores[[#This Row],[CIIU]]&amp;Indicadores[[#This Row],[Año]]</f>
        <v>I56292019</v>
      </c>
      <c r="C1568" s="845" t="s">
        <v>3048</v>
      </c>
      <c r="D1568" s="845" t="s">
        <v>3071</v>
      </c>
      <c r="E1568" s="843">
        <v>2019</v>
      </c>
      <c r="F1568" s="844" t="s">
        <v>3087</v>
      </c>
      <c r="G1568" s="842" t="s">
        <v>3088</v>
      </c>
      <c r="H1568" s="843" t="s">
        <v>3089</v>
      </c>
      <c r="I1568" s="842" t="s">
        <v>3088</v>
      </c>
      <c r="J1568" s="840">
        <v>40589219</v>
      </c>
      <c r="K1568" s="840">
        <v>52755574</v>
      </c>
      <c r="L1568" s="841">
        <v>481188917</v>
      </c>
      <c r="M1568" s="840">
        <v>533316089</v>
      </c>
      <c r="N1568" s="839">
        <f>Indicadores[[#This Row],[Ventas]]/Indicadores[[#This Row],[Activos totales]]</f>
        <v>1.1083299514149034</v>
      </c>
      <c r="O1568" s="837">
        <f>IF(Indicadores[[#This Row],[Ventas]]=0,0,Indicadores[[#This Row],[EBITDA]]/Indicadores[[#This Row],[Ventas]])</f>
        <v>9.891989963948003E-2</v>
      </c>
      <c r="P1568" s="837">
        <f>IF(Indicadores[[#This Row],[Ventas]]=0,0,Indicadores[[#This Row],[UAI]]/Indicadores[[#This Row],[Ventas]])</f>
        <v>7.6107246410111587E-2</v>
      </c>
      <c r="Q1568" s="837">
        <f>IFERROR(Indicadores[[#This Row],[Ventas]]/Indicadores[[#This Row],[Activos totales]],0)</f>
        <v>1.1083299514149034</v>
      </c>
    </row>
    <row r="1569" spans="1:17" hidden="1" x14ac:dyDescent="0.3">
      <c r="A1569" s="13" t="str">
        <f>MID(Indicadores[[#This Row],[CIIU]],2,4)</f>
        <v>5630</v>
      </c>
      <c r="B1569" s="13" t="str">
        <f>Indicadores[[#This Row],[CIIU]]&amp;Indicadores[[#This Row],[Año]]</f>
        <v>I56302019</v>
      </c>
      <c r="C1569" s="845" t="s">
        <v>3048</v>
      </c>
      <c r="D1569" s="845" t="s">
        <v>3071</v>
      </c>
      <c r="E1569" s="843">
        <v>2019</v>
      </c>
      <c r="F1569" s="844" t="s">
        <v>3090</v>
      </c>
      <c r="G1569" s="842" t="s">
        <v>3091</v>
      </c>
      <c r="H1569" s="843" t="s">
        <v>3092</v>
      </c>
      <c r="I1569" s="842" t="s">
        <v>3091</v>
      </c>
      <c r="J1569" s="840">
        <v>-6000404</v>
      </c>
      <c r="K1569" s="840">
        <v>16124512</v>
      </c>
      <c r="L1569" s="841">
        <v>167615386</v>
      </c>
      <c r="M1569" s="840">
        <v>173530306</v>
      </c>
      <c r="N1569" s="839">
        <f>Indicadores[[#This Row],[Ventas]]/Indicadores[[#This Row],[Activos totales]]</f>
        <v>1.0352886458764592</v>
      </c>
      <c r="O1569" s="837">
        <f>IF(Indicadores[[#This Row],[Ventas]]=0,0,Indicadores[[#This Row],[EBITDA]]/Indicadores[[#This Row],[Ventas]])</f>
        <v>9.2920437770679667E-2</v>
      </c>
      <c r="P1569" s="837">
        <f>IF(Indicadores[[#This Row],[Ventas]]=0,0,Indicadores[[#This Row],[UAI]]/Indicadores[[#This Row],[Ventas]])</f>
        <v>-3.4578421131810831E-2</v>
      </c>
      <c r="Q1569" s="837">
        <f>IFERROR(Indicadores[[#This Row],[Ventas]]/Indicadores[[#This Row],[Activos totales]],0)</f>
        <v>1.0352886458764592</v>
      </c>
    </row>
    <row r="1570" spans="1:17" hidden="1" x14ac:dyDescent="0.3">
      <c r="A1570" s="13" t="str">
        <f>MID(Indicadores[[#This Row],[CIIU]],2,4)</f>
        <v>5811</v>
      </c>
      <c r="B1570" s="13" t="str">
        <f>Indicadores[[#This Row],[CIIU]]&amp;Indicadores[[#This Row],[Año]]</f>
        <v>J58112019</v>
      </c>
      <c r="C1570" s="845" t="s">
        <v>3093</v>
      </c>
      <c r="D1570" s="845" t="s">
        <v>3094</v>
      </c>
      <c r="E1570" s="843">
        <v>2019</v>
      </c>
      <c r="F1570" s="844" t="s">
        <v>3095</v>
      </c>
      <c r="G1570" s="842" t="s">
        <v>3096</v>
      </c>
      <c r="H1570" s="843" t="s">
        <v>3097</v>
      </c>
      <c r="I1570" s="842" t="s">
        <v>3096</v>
      </c>
      <c r="J1570" s="840">
        <v>54738838</v>
      </c>
      <c r="K1570" s="840">
        <v>77389014</v>
      </c>
      <c r="L1570" s="841">
        <v>678965674</v>
      </c>
      <c r="M1570" s="840">
        <v>453859031</v>
      </c>
      <c r="N1570" s="839">
        <f>Indicadores[[#This Row],[Ventas]]/Indicadores[[#This Row],[Activos totales]]</f>
        <v>0.66845651905518866</v>
      </c>
      <c r="O1570" s="837">
        <f>IF(Indicadores[[#This Row],[Ventas]]=0,0,Indicadores[[#This Row],[EBITDA]]/Indicadores[[#This Row],[Ventas]])</f>
        <v>0.17051332839953998</v>
      </c>
      <c r="P1570" s="837">
        <f>IF(Indicadores[[#This Row],[Ventas]]=0,0,Indicadores[[#This Row],[UAI]]/Indicadores[[#This Row],[Ventas]])</f>
        <v>0.12060757693725389</v>
      </c>
      <c r="Q1570" s="837">
        <f>IFERROR(Indicadores[[#This Row],[Ventas]]/Indicadores[[#This Row],[Activos totales]],0)</f>
        <v>0.66845651905518866</v>
      </c>
    </row>
    <row r="1571" spans="1:17" hidden="1" x14ac:dyDescent="0.3">
      <c r="A1571" s="13" t="str">
        <f>MID(Indicadores[[#This Row],[CIIU]],2,4)</f>
        <v>5813</v>
      </c>
      <c r="B1571" s="13" t="str">
        <f>Indicadores[[#This Row],[CIIU]]&amp;Indicadores[[#This Row],[Año]]</f>
        <v>J58132019</v>
      </c>
      <c r="C1571" s="845" t="s">
        <v>3093</v>
      </c>
      <c r="D1571" s="845" t="s">
        <v>3094</v>
      </c>
      <c r="E1571" s="843">
        <v>2019</v>
      </c>
      <c r="F1571" s="844" t="s">
        <v>3098</v>
      </c>
      <c r="G1571" s="842" t="s">
        <v>3099</v>
      </c>
      <c r="H1571" s="843" t="s">
        <v>3100</v>
      </c>
      <c r="I1571" s="842" t="s">
        <v>3099</v>
      </c>
      <c r="J1571" s="840">
        <v>18913140</v>
      </c>
      <c r="K1571" s="840">
        <v>29339963</v>
      </c>
      <c r="L1571" s="841">
        <v>489960919</v>
      </c>
      <c r="M1571" s="840">
        <v>352149382</v>
      </c>
      <c r="N1571" s="839">
        <f>Indicadores[[#This Row],[Ventas]]/Indicadores[[#This Row],[Activos totales]]</f>
        <v>0.71872953197722289</v>
      </c>
      <c r="O1571" s="837">
        <f>IF(Indicadores[[#This Row],[Ventas]]=0,0,Indicadores[[#This Row],[EBITDA]]/Indicadores[[#This Row],[Ventas]])</f>
        <v>8.3316809569184483E-2</v>
      </c>
      <c r="P1571" s="837">
        <f>IF(Indicadores[[#This Row],[Ventas]]=0,0,Indicadores[[#This Row],[UAI]]/Indicadores[[#This Row],[Ventas]])</f>
        <v>5.3707718845293899E-2</v>
      </c>
      <c r="Q1571" s="837">
        <f>IFERROR(Indicadores[[#This Row],[Ventas]]/Indicadores[[#This Row],[Activos totales]],0)</f>
        <v>0.71872953197722289</v>
      </c>
    </row>
    <row r="1572" spans="1:17" hidden="1" x14ac:dyDescent="0.3">
      <c r="A1572" s="13" t="str">
        <f>MID(Indicadores[[#This Row],[CIIU]],2,4)</f>
        <v>5819</v>
      </c>
      <c r="B1572" s="13" t="str">
        <f>Indicadores[[#This Row],[CIIU]]&amp;Indicadores[[#This Row],[Año]]</f>
        <v>J58192019</v>
      </c>
      <c r="C1572" s="845" t="s">
        <v>3093</v>
      </c>
      <c r="D1572" s="845" t="s">
        <v>3094</v>
      </c>
      <c r="E1572" s="843">
        <v>2019</v>
      </c>
      <c r="F1572" s="844" t="s">
        <v>3101</v>
      </c>
      <c r="G1572" s="842" t="s">
        <v>3102</v>
      </c>
      <c r="H1572" s="843" t="s">
        <v>3103</v>
      </c>
      <c r="I1572" s="842" t="s">
        <v>3102</v>
      </c>
      <c r="J1572" s="840">
        <v>-2405723</v>
      </c>
      <c r="K1572" s="840">
        <v>-44736</v>
      </c>
      <c r="L1572" s="841">
        <v>59696986</v>
      </c>
      <c r="M1572" s="840">
        <v>65923057</v>
      </c>
      <c r="N1572" s="839">
        <f>Indicadores[[#This Row],[Ventas]]/Indicadores[[#This Row],[Activos totales]]</f>
        <v>1.1042945618728557</v>
      </c>
      <c r="O1572" s="837">
        <f>IF(Indicadores[[#This Row],[Ventas]]=0,0,Indicadores[[#This Row],[EBITDA]]/Indicadores[[#This Row],[Ventas]])</f>
        <v>-6.7860930660421288E-4</v>
      </c>
      <c r="P1572" s="837">
        <f>IF(Indicadores[[#This Row],[Ventas]]=0,0,Indicadores[[#This Row],[UAI]]/Indicadores[[#This Row],[Ventas]])</f>
        <v>-3.6492892008937024E-2</v>
      </c>
      <c r="Q1572" s="837">
        <f>IFERROR(Indicadores[[#This Row],[Ventas]]/Indicadores[[#This Row],[Activos totales]],0)</f>
        <v>1.1042945618728557</v>
      </c>
    </row>
    <row r="1573" spans="1:17" hidden="1" x14ac:dyDescent="0.3">
      <c r="A1573" s="13" t="str">
        <f>MID(Indicadores[[#This Row],[CIIU]],2,4)</f>
        <v>5820</v>
      </c>
      <c r="B1573" s="13" t="str">
        <f>Indicadores[[#This Row],[CIIU]]&amp;Indicadores[[#This Row],[Año]]</f>
        <v>J58202019</v>
      </c>
      <c r="C1573" s="845" t="s">
        <v>3093</v>
      </c>
      <c r="D1573" s="845" t="s">
        <v>3094</v>
      </c>
      <c r="E1573" s="843">
        <v>2019</v>
      </c>
      <c r="F1573" s="844" t="s">
        <v>3104</v>
      </c>
      <c r="G1573" s="842" t="s">
        <v>3105</v>
      </c>
      <c r="H1573" s="843" t="s">
        <v>3106</v>
      </c>
      <c r="I1573" s="842" t="s">
        <v>3105</v>
      </c>
      <c r="J1573" s="840">
        <v>7058065</v>
      </c>
      <c r="K1573" s="840">
        <v>8020565</v>
      </c>
      <c r="L1573" s="841">
        <v>34585305</v>
      </c>
      <c r="M1573" s="840">
        <v>78725692</v>
      </c>
      <c r="N1573" s="839">
        <f>Indicadores[[#This Row],[Ventas]]/Indicadores[[#This Row],[Activos totales]]</f>
        <v>2.2762757766629496</v>
      </c>
      <c r="O1573" s="837">
        <f>IF(Indicadores[[#This Row],[Ventas]]=0,0,Indicadores[[#This Row],[EBITDA]]/Indicadores[[#This Row],[Ventas]])</f>
        <v>0.10187989201797044</v>
      </c>
      <c r="P1573" s="837">
        <f>IF(Indicadores[[#This Row],[Ventas]]=0,0,Indicadores[[#This Row],[UAI]]/Indicadores[[#This Row],[Ventas]])</f>
        <v>8.9653895960673163E-2</v>
      </c>
      <c r="Q1573" s="837">
        <f>IFERROR(Indicadores[[#This Row],[Ventas]]/Indicadores[[#This Row],[Activos totales]],0)</f>
        <v>2.2762757766629496</v>
      </c>
    </row>
    <row r="1574" spans="1:17" hidden="1" x14ac:dyDescent="0.3">
      <c r="A1574" s="13" t="str">
        <f>MID(Indicadores[[#This Row],[CIIU]],2,4)</f>
        <v>5911</v>
      </c>
      <c r="B1574" s="13" t="str">
        <f>Indicadores[[#This Row],[CIIU]]&amp;Indicadores[[#This Row],[Año]]</f>
        <v>J59112019</v>
      </c>
      <c r="C1574" s="845" t="s">
        <v>3093</v>
      </c>
      <c r="D1574" s="845" t="s">
        <v>3107</v>
      </c>
      <c r="E1574" s="843">
        <v>2019</v>
      </c>
      <c r="F1574" s="844" t="s">
        <v>3108</v>
      </c>
      <c r="G1574" s="842" t="s">
        <v>3109</v>
      </c>
      <c r="H1574" s="843" t="s">
        <v>3110</v>
      </c>
      <c r="I1574" s="842" t="s">
        <v>3109</v>
      </c>
      <c r="J1574" s="840">
        <v>2842391</v>
      </c>
      <c r="K1574" s="840">
        <v>96803700</v>
      </c>
      <c r="L1574" s="841">
        <v>342253611</v>
      </c>
      <c r="M1574" s="840">
        <v>277469681</v>
      </c>
      <c r="N1574" s="839">
        <f>Indicadores[[#This Row],[Ventas]]/Indicadores[[#This Row],[Activos totales]]</f>
        <v>0.8107136698697972</v>
      </c>
      <c r="O1574" s="837">
        <f>IF(Indicadores[[#This Row],[Ventas]]=0,0,Indicadores[[#This Row],[EBITDA]]/Indicadores[[#This Row],[Ventas]])</f>
        <v>0.34888028000435839</v>
      </c>
      <c r="P1574" s="837">
        <f>IF(Indicadores[[#This Row],[Ventas]]=0,0,Indicadores[[#This Row],[UAI]]/Indicadores[[#This Row],[Ventas]])</f>
        <v>1.0243969682583086E-2</v>
      </c>
      <c r="Q1574" s="837">
        <f>IFERROR(Indicadores[[#This Row],[Ventas]]/Indicadores[[#This Row],[Activos totales]],0)</f>
        <v>0.8107136698697972</v>
      </c>
    </row>
    <row r="1575" spans="1:17" hidden="1" x14ac:dyDescent="0.3">
      <c r="A1575" s="13" t="str">
        <f>MID(Indicadores[[#This Row],[CIIU]],2,4)</f>
        <v>5912</v>
      </c>
      <c r="B1575" s="13" t="str">
        <f>Indicadores[[#This Row],[CIIU]]&amp;Indicadores[[#This Row],[Año]]</f>
        <v>J59122019</v>
      </c>
      <c r="C1575" s="845" t="s">
        <v>3093</v>
      </c>
      <c r="D1575" s="845" t="s">
        <v>3107</v>
      </c>
      <c r="E1575" s="843">
        <v>2019</v>
      </c>
      <c r="F1575" s="844" t="s">
        <v>3111</v>
      </c>
      <c r="G1575" s="842" t="s">
        <v>3112</v>
      </c>
      <c r="H1575" s="843" t="s">
        <v>3113</v>
      </c>
      <c r="I1575" s="842" t="s">
        <v>3112</v>
      </c>
      <c r="J1575" s="840">
        <v>3556479</v>
      </c>
      <c r="K1575" s="840">
        <v>3619531</v>
      </c>
      <c r="L1575" s="841">
        <v>17574820</v>
      </c>
      <c r="M1575" s="840">
        <v>10653428</v>
      </c>
      <c r="N1575" s="839">
        <f>Indicadores[[#This Row],[Ventas]]/Indicadores[[#This Row],[Activos totales]]</f>
        <v>0.60617565357710634</v>
      </c>
      <c r="O1575" s="837">
        <f>IF(Indicadores[[#This Row],[Ventas]]=0,0,Indicadores[[#This Row],[EBITDA]]/Indicadores[[#This Row],[Ventas]])</f>
        <v>0.33975270682826225</v>
      </c>
      <c r="P1575" s="837">
        <f>IF(Indicadores[[#This Row],[Ventas]]=0,0,Indicadores[[#This Row],[UAI]]/Indicadores[[#This Row],[Ventas]])</f>
        <v>0.33383423626648623</v>
      </c>
      <c r="Q1575" s="837">
        <f>IFERROR(Indicadores[[#This Row],[Ventas]]/Indicadores[[#This Row],[Activos totales]],0)</f>
        <v>0.60617565357710634</v>
      </c>
    </row>
    <row r="1576" spans="1:17" hidden="1" x14ac:dyDescent="0.3">
      <c r="A1576" s="13" t="str">
        <f>MID(Indicadores[[#This Row],[CIIU]],2,4)</f>
        <v>5913</v>
      </c>
      <c r="B1576" s="13" t="str">
        <f>Indicadores[[#This Row],[CIIU]]&amp;Indicadores[[#This Row],[Año]]</f>
        <v>J59132019</v>
      </c>
      <c r="C1576" s="845" t="s">
        <v>3093</v>
      </c>
      <c r="D1576" s="845" t="s">
        <v>3107</v>
      </c>
      <c r="E1576" s="843">
        <v>2019</v>
      </c>
      <c r="F1576" s="844" t="s">
        <v>3114</v>
      </c>
      <c r="G1576" s="842" t="s">
        <v>3115</v>
      </c>
      <c r="H1576" s="843" t="s">
        <v>3116</v>
      </c>
      <c r="I1576" s="842" t="s">
        <v>3115</v>
      </c>
      <c r="J1576" s="840">
        <v>2978101</v>
      </c>
      <c r="K1576" s="840">
        <v>6941527</v>
      </c>
      <c r="L1576" s="841">
        <v>94529578</v>
      </c>
      <c r="M1576" s="840">
        <v>192375753</v>
      </c>
      <c r="N1576" s="839">
        <f>Indicadores[[#This Row],[Ventas]]/Indicadores[[#This Row],[Activos totales]]</f>
        <v>2.0350852830423087</v>
      </c>
      <c r="O1576" s="837">
        <f>IF(Indicadores[[#This Row],[Ventas]]=0,0,Indicadores[[#This Row],[EBITDA]]/Indicadores[[#This Row],[Ventas]])</f>
        <v>3.60831700032384E-2</v>
      </c>
      <c r="P1576" s="837">
        <f>IF(Indicadores[[#This Row],[Ventas]]=0,0,Indicadores[[#This Row],[UAI]]/Indicadores[[#This Row],[Ventas]])</f>
        <v>1.5480646357755907E-2</v>
      </c>
      <c r="Q1576" s="837">
        <f>IFERROR(Indicadores[[#This Row],[Ventas]]/Indicadores[[#This Row],[Activos totales]],0)</f>
        <v>2.0350852830423087</v>
      </c>
    </row>
    <row r="1577" spans="1:17" hidden="1" x14ac:dyDescent="0.3">
      <c r="A1577" s="13" t="str">
        <f>MID(Indicadores[[#This Row],[CIIU]],2,4)</f>
        <v>5914</v>
      </c>
      <c r="B1577" s="13" t="str">
        <f>Indicadores[[#This Row],[CIIU]]&amp;Indicadores[[#This Row],[Año]]</f>
        <v>J59142019</v>
      </c>
      <c r="C1577" s="845" t="s">
        <v>3093</v>
      </c>
      <c r="D1577" s="845" t="s">
        <v>3107</v>
      </c>
      <c r="E1577" s="843">
        <v>2019</v>
      </c>
      <c r="F1577" s="844" t="s">
        <v>3117</v>
      </c>
      <c r="G1577" s="842" t="s">
        <v>3118</v>
      </c>
      <c r="H1577" s="843" t="s">
        <v>3119</v>
      </c>
      <c r="I1577" s="842" t="s">
        <v>3118</v>
      </c>
      <c r="J1577" s="840">
        <v>90588803</v>
      </c>
      <c r="K1577" s="840">
        <v>215366520</v>
      </c>
      <c r="L1577" s="841">
        <v>1704756863</v>
      </c>
      <c r="M1577" s="840">
        <v>1158258855</v>
      </c>
      <c r="N1577" s="839">
        <f>Indicadores[[#This Row],[Ventas]]/Indicadores[[#This Row],[Activos totales]]</f>
        <v>0.67942759471383929</v>
      </c>
      <c r="O1577" s="837">
        <f>IF(Indicadores[[#This Row],[Ventas]]=0,0,Indicadores[[#This Row],[EBITDA]]/Indicadores[[#This Row],[Ventas]])</f>
        <v>0.18593988646864262</v>
      </c>
      <c r="P1577" s="837">
        <f>IF(Indicadores[[#This Row],[Ventas]]=0,0,Indicadores[[#This Row],[UAI]]/Indicadores[[#This Row],[Ventas]])</f>
        <v>7.8211189674004256E-2</v>
      </c>
      <c r="Q1577" s="837">
        <f>IFERROR(Indicadores[[#This Row],[Ventas]]/Indicadores[[#This Row],[Activos totales]],0)</f>
        <v>0.67942759471383929</v>
      </c>
    </row>
    <row r="1578" spans="1:17" hidden="1" x14ac:dyDescent="0.3">
      <c r="A1578" s="13" t="str">
        <f>MID(Indicadores[[#This Row],[CIIU]],2,4)</f>
        <v>5920</v>
      </c>
      <c r="B1578" s="13" t="str">
        <f>Indicadores[[#This Row],[CIIU]]&amp;Indicadores[[#This Row],[Año]]</f>
        <v>J59202019</v>
      </c>
      <c r="C1578" s="845" t="s">
        <v>3093</v>
      </c>
      <c r="D1578" s="845" t="s">
        <v>3107</v>
      </c>
      <c r="E1578" s="843">
        <v>2019</v>
      </c>
      <c r="F1578" s="844" t="s">
        <v>3120</v>
      </c>
      <c r="G1578" s="842" t="s">
        <v>3121</v>
      </c>
      <c r="H1578" s="843" t="s">
        <v>3122</v>
      </c>
      <c r="I1578" s="842" t="s">
        <v>3121</v>
      </c>
      <c r="J1578" s="840">
        <v>4763644</v>
      </c>
      <c r="K1578" s="840">
        <v>6116538</v>
      </c>
      <c r="L1578" s="841">
        <v>64538900</v>
      </c>
      <c r="M1578" s="840">
        <v>61214032</v>
      </c>
      <c r="N1578" s="839">
        <f>Indicadores[[#This Row],[Ventas]]/Indicadores[[#This Row],[Activos totales]]</f>
        <v>0.94848272902079211</v>
      </c>
      <c r="O1578" s="837">
        <f>IF(Indicadores[[#This Row],[Ventas]]=0,0,Indicadores[[#This Row],[EBITDA]]/Indicadores[[#This Row],[Ventas]])</f>
        <v>9.9920521490889536E-2</v>
      </c>
      <c r="P1578" s="837">
        <f>IF(Indicadores[[#This Row],[Ventas]]=0,0,Indicadores[[#This Row],[UAI]]/Indicadores[[#This Row],[Ventas]])</f>
        <v>7.7819477730204076E-2</v>
      </c>
      <c r="Q1578" s="837">
        <f>IFERROR(Indicadores[[#This Row],[Ventas]]/Indicadores[[#This Row],[Activos totales]],0)</f>
        <v>0.94848272902079211</v>
      </c>
    </row>
    <row r="1579" spans="1:17" hidden="1" x14ac:dyDescent="0.3">
      <c r="A1579" s="13" t="str">
        <f>MID(Indicadores[[#This Row],[CIIU]],2,4)</f>
        <v>6010</v>
      </c>
      <c r="B1579" s="13" t="str">
        <f>Indicadores[[#This Row],[CIIU]]&amp;Indicadores[[#This Row],[Año]]</f>
        <v>J60102019</v>
      </c>
      <c r="C1579" s="845" t="s">
        <v>3093</v>
      </c>
      <c r="D1579" s="845" t="s">
        <v>3123</v>
      </c>
      <c r="E1579" s="843">
        <v>2019</v>
      </c>
      <c r="F1579" s="844" t="s">
        <v>3124</v>
      </c>
      <c r="G1579" s="842" t="s">
        <v>3125</v>
      </c>
      <c r="H1579" s="843" t="s">
        <v>3126</v>
      </c>
      <c r="I1579" s="842" t="s">
        <v>3125</v>
      </c>
      <c r="J1579" s="840">
        <v>33555691</v>
      </c>
      <c r="K1579" s="840">
        <v>60506484</v>
      </c>
      <c r="L1579" s="841">
        <v>798457788</v>
      </c>
      <c r="M1579" s="840">
        <v>511277740</v>
      </c>
      <c r="N1579" s="839">
        <f>Indicadores[[#This Row],[Ventas]]/Indicadores[[#This Row],[Activos totales]]</f>
        <v>0.64033158381567445</v>
      </c>
      <c r="O1579" s="837">
        <f>IF(Indicadores[[#This Row],[Ventas]]=0,0,Indicadores[[#This Row],[EBITDA]]/Indicadores[[#This Row],[Ventas]])</f>
        <v>0.11834366972440459</v>
      </c>
      <c r="P1579" s="837">
        <f>IF(Indicadores[[#This Row],[Ventas]]=0,0,Indicadores[[#This Row],[UAI]]/Indicadores[[#This Row],[Ventas]])</f>
        <v>6.5631042337184475E-2</v>
      </c>
      <c r="Q1579" s="837">
        <f>IFERROR(Indicadores[[#This Row],[Ventas]]/Indicadores[[#This Row],[Activos totales]],0)</f>
        <v>0.64033158381567445</v>
      </c>
    </row>
    <row r="1580" spans="1:17" hidden="1" x14ac:dyDescent="0.3">
      <c r="A1580" s="13" t="str">
        <f>MID(Indicadores[[#This Row],[CIIU]],2,4)</f>
        <v>6020</v>
      </c>
      <c r="B1580" s="13" t="str">
        <f>Indicadores[[#This Row],[CIIU]]&amp;Indicadores[[#This Row],[Año]]</f>
        <v>J60202019</v>
      </c>
      <c r="C1580" s="845" t="s">
        <v>3093</v>
      </c>
      <c r="D1580" s="845" t="s">
        <v>3123</v>
      </c>
      <c r="E1580" s="843">
        <v>2019</v>
      </c>
      <c r="F1580" s="844" t="s">
        <v>3127</v>
      </c>
      <c r="G1580" s="842" t="s">
        <v>3128</v>
      </c>
      <c r="H1580" s="843" t="s">
        <v>3129</v>
      </c>
      <c r="I1580" s="842" t="s">
        <v>3128</v>
      </c>
      <c r="J1580" s="840">
        <v>30420105</v>
      </c>
      <c r="K1580" s="840">
        <v>53760847</v>
      </c>
      <c r="L1580" s="841">
        <v>526175620</v>
      </c>
      <c r="M1580" s="840">
        <v>429201475</v>
      </c>
      <c r="N1580" s="839">
        <f>Indicadores[[#This Row],[Ventas]]/Indicadores[[#This Row],[Activos totales]]</f>
        <v>0.81570004136641683</v>
      </c>
      <c r="O1580" s="837">
        <f>IF(Indicadores[[#This Row],[Ventas]]=0,0,Indicadores[[#This Row],[EBITDA]]/Indicadores[[#This Row],[Ventas]])</f>
        <v>0.12525783374812494</v>
      </c>
      <c r="P1580" s="837">
        <f>IF(Indicadores[[#This Row],[Ventas]]=0,0,Indicadores[[#This Row],[UAI]]/Indicadores[[#This Row],[Ventas]])</f>
        <v>7.0876049528953738E-2</v>
      </c>
      <c r="Q1580" s="837">
        <f>IFERROR(Indicadores[[#This Row],[Ventas]]/Indicadores[[#This Row],[Activos totales]],0)</f>
        <v>0.81570004136641683</v>
      </c>
    </row>
    <row r="1581" spans="1:17" hidden="1" x14ac:dyDescent="0.3">
      <c r="A1581" s="13" t="str">
        <f>MID(Indicadores[[#This Row],[CIIU]],2,4)</f>
        <v>6110</v>
      </c>
      <c r="B1581" s="13" t="str">
        <f>Indicadores[[#This Row],[CIIU]]&amp;Indicadores[[#This Row],[Año]]</f>
        <v>J61102019</v>
      </c>
      <c r="C1581" s="845" t="s">
        <v>3093</v>
      </c>
      <c r="D1581" s="845" t="s">
        <v>3130</v>
      </c>
      <c r="E1581" s="843">
        <v>2019</v>
      </c>
      <c r="F1581" s="844" t="s">
        <v>3131</v>
      </c>
      <c r="G1581" s="842" t="s">
        <v>3132</v>
      </c>
      <c r="H1581" s="843" t="s">
        <v>3133</v>
      </c>
      <c r="I1581" s="842" t="s">
        <v>3132</v>
      </c>
      <c r="J1581" s="840">
        <v>-47200810</v>
      </c>
      <c r="K1581" s="840">
        <v>201246571</v>
      </c>
      <c r="L1581" s="841">
        <v>3476539839</v>
      </c>
      <c r="M1581" s="840">
        <v>1681128656</v>
      </c>
      <c r="N1581" s="839">
        <f>Indicadores[[#This Row],[Ventas]]/Indicadores[[#This Row],[Activos totales]]</f>
        <v>0.48356375415032316</v>
      </c>
      <c r="O1581" s="837">
        <f>IF(Indicadores[[#This Row],[Ventas]]=0,0,Indicadores[[#This Row],[EBITDA]]/Indicadores[[#This Row],[Ventas]])</f>
        <v>0.11970920267270728</v>
      </c>
      <c r="P1581" s="837">
        <f>IF(Indicadores[[#This Row],[Ventas]]=0,0,Indicadores[[#This Row],[UAI]]/Indicadores[[#This Row],[Ventas]])</f>
        <v>-2.8076857670315033E-2</v>
      </c>
      <c r="Q1581" s="837">
        <f>IFERROR(Indicadores[[#This Row],[Ventas]]/Indicadores[[#This Row],[Activos totales]],0)</f>
        <v>0.48356375415032316</v>
      </c>
    </row>
    <row r="1582" spans="1:17" hidden="1" x14ac:dyDescent="0.3">
      <c r="A1582" s="13" t="str">
        <f>MID(Indicadores[[#This Row],[CIIU]],2,4)</f>
        <v>6120</v>
      </c>
      <c r="B1582" s="13" t="str">
        <f>Indicadores[[#This Row],[CIIU]]&amp;Indicadores[[#This Row],[Año]]</f>
        <v>J61202019</v>
      </c>
      <c r="C1582" s="845" t="s">
        <v>3093</v>
      </c>
      <c r="D1582" s="845" t="s">
        <v>3130</v>
      </c>
      <c r="E1582" s="843">
        <v>2019</v>
      </c>
      <c r="F1582" s="844" t="s">
        <v>3134</v>
      </c>
      <c r="G1582" s="842" t="s">
        <v>3135</v>
      </c>
      <c r="H1582" s="843" t="s">
        <v>3136</v>
      </c>
      <c r="I1582" s="842" t="s">
        <v>3135</v>
      </c>
      <c r="J1582" s="840">
        <v>1702246552</v>
      </c>
      <c r="K1582" s="840">
        <v>4513170332</v>
      </c>
      <c r="L1582" s="841">
        <v>22164687092</v>
      </c>
      <c r="M1582" s="840">
        <v>15820663370</v>
      </c>
      <c r="N1582" s="839">
        <f>Indicadores[[#This Row],[Ventas]]/Indicadores[[#This Row],[Activos totales]]</f>
        <v>0.71377788029817135</v>
      </c>
      <c r="O1582" s="837">
        <f>IF(Indicadores[[#This Row],[Ventas]]=0,0,Indicadores[[#This Row],[EBITDA]]/Indicadores[[#This Row],[Ventas]])</f>
        <v>0.2852706126443546</v>
      </c>
      <c r="P1582" s="837">
        <f>IF(Indicadores[[#This Row],[Ventas]]=0,0,Indicadores[[#This Row],[UAI]]/Indicadores[[#This Row],[Ventas]])</f>
        <v>0.10759640807653441</v>
      </c>
      <c r="Q1582" s="837">
        <f>IFERROR(Indicadores[[#This Row],[Ventas]]/Indicadores[[#This Row],[Activos totales]],0)</f>
        <v>0.71377788029817135</v>
      </c>
    </row>
    <row r="1583" spans="1:17" hidden="1" x14ac:dyDescent="0.3">
      <c r="A1583" s="13" t="str">
        <f>MID(Indicadores[[#This Row],[CIIU]],2,4)</f>
        <v>6130</v>
      </c>
      <c r="B1583" s="13" t="str">
        <f>Indicadores[[#This Row],[CIIU]]&amp;Indicadores[[#This Row],[Año]]</f>
        <v>J61302019</v>
      </c>
      <c r="C1583" s="845" t="s">
        <v>3093</v>
      </c>
      <c r="D1583" s="845" t="s">
        <v>3130</v>
      </c>
      <c r="E1583" s="843">
        <v>2019</v>
      </c>
      <c r="F1583" s="844" t="s">
        <v>3137</v>
      </c>
      <c r="G1583" s="842" t="s">
        <v>3138</v>
      </c>
      <c r="H1583" s="843" t="s">
        <v>3139</v>
      </c>
      <c r="I1583" s="842" t="s">
        <v>3138</v>
      </c>
      <c r="J1583" s="840">
        <v>59909282</v>
      </c>
      <c r="K1583" s="840">
        <v>222869848</v>
      </c>
      <c r="L1583" s="841">
        <v>1031510242</v>
      </c>
      <c r="M1583" s="840">
        <v>1257579935</v>
      </c>
      <c r="N1583" s="839">
        <f>Indicadores[[#This Row],[Ventas]]/Indicadores[[#This Row],[Activos totales]]</f>
        <v>1.2191637889718598</v>
      </c>
      <c r="O1583" s="837">
        <f>IF(Indicadores[[#This Row],[Ventas]]=0,0,Indicadores[[#This Row],[EBITDA]]/Indicadores[[#This Row],[Ventas]])</f>
        <v>0.17722121814864994</v>
      </c>
      <c r="P1583" s="837">
        <f>IF(Indicadores[[#This Row],[Ventas]]=0,0,Indicadores[[#This Row],[UAI]]/Indicadores[[#This Row],[Ventas]])</f>
        <v>4.7638547922601832E-2</v>
      </c>
      <c r="Q1583" s="837">
        <f>IFERROR(Indicadores[[#This Row],[Ventas]]/Indicadores[[#This Row],[Activos totales]],0)</f>
        <v>1.2191637889718598</v>
      </c>
    </row>
    <row r="1584" spans="1:17" hidden="1" x14ac:dyDescent="0.3">
      <c r="A1584" s="13" t="str">
        <f>MID(Indicadores[[#This Row],[CIIU]],2,4)</f>
        <v>6190</v>
      </c>
      <c r="B1584" s="13" t="str">
        <f>Indicadores[[#This Row],[CIIU]]&amp;Indicadores[[#This Row],[Año]]</f>
        <v>J61902019</v>
      </c>
      <c r="C1584" s="845" t="s">
        <v>3093</v>
      </c>
      <c r="D1584" s="845" t="s">
        <v>3130</v>
      </c>
      <c r="E1584" s="843">
        <v>2019</v>
      </c>
      <c r="F1584" s="844" t="s">
        <v>3140</v>
      </c>
      <c r="G1584" s="842" t="s">
        <v>3141</v>
      </c>
      <c r="H1584" s="843" t="s">
        <v>3142</v>
      </c>
      <c r="I1584" s="842" t="s">
        <v>3141</v>
      </c>
      <c r="J1584" s="840">
        <v>222582384</v>
      </c>
      <c r="K1584" s="840">
        <v>385420412</v>
      </c>
      <c r="L1584" s="841">
        <v>4322742478</v>
      </c>
      <c r="M1584" s="840">
        <v>5253653726</v>
      </c>
      <c r="N1584" s="839">
        <f>Indicadores[[#This Row],[Ventas]]/Indicadores[[#This Row],[Activos totales]]</f>
        <v>1.2153520022850641</v>
      </c>
      <c r="O1584" s="837">
        <f>IF(Indicadores[[#This Row],[Ventas]]=0,0,Indicadores[[#This Row],[EBITDA]]/Indicadores[[#This Row],[Ventas]])</f>
        <v>7.3362355438954557E-2</v>
      </c>
      <c r="P1584" s="837">
        <f>IF(Indicadores[[#This Row],[Ventas]]=0,0,Indicadores[[#This Row],[UAI]]/Indicadores[[#This Row],[Ventas]])</f>
        <v>4.2367159239759915E-2</v>
      </c>
      <c r="Q1584" s="837">
        <f>IFERROR(Indicadores[[#This Row],[Ventas]]/Indicadores[[#This Row],[Activos totales]],0)</f>
        <v>1.2153520022850641</v>
      </c>
    </row>
    <row r="1585" spans="1:17" hidden="1" x14ac:dyDescent="0.3">
      <c r="A1585" s="13" t="str">
        <f>MID(Indicadores[[#This Row],[CIIU]],2,4)</f>
        <v>6201</v>
      </c>
      <c r="B1585" s="13" t="str">
        <f>Indicadores[[#This Row],[CIIU]]&amp;Indicadores[[#This Row],[Año]]</f>
        <v>J62012019</v>
      </c>
      <c r="C1585" s="845" t="s">
        <v>3093</v>
      </c>
      <c r="D1585" s="845" t="s">
        <v>3143</v>
      </c>
      <c r="E1585" s="843">
        <v>2019</v>
      </c>
      <c r="F1585" s="844" t="s">
        <v>3144</v>
      </c>
      <c r="G1585" s="842" t="s">
        <v>3145</v>
      </c>
      <c r="H1585" s="843" t="s">
        <v>3146</v>
      </c>
      <c r="I1585" s="842" t="s">
        <v>3145</v>
      </c>
      <c r="J1585" s="840">
        <v>-26128752</v>
      </c>
      <c r="K1585" s="840">
        <v>50401315</v>
      </c>
      <c r="L1585" s="841">
        <v>2163477210</v>
      </c>
      <c r="M1585" s="840">
        <v>2699921796</v>
      </c>
      <c r="N1585" s="839">
        <f>Indicadores[[#This Row],[Ventas]]/Indicadores[[#This Row],[Activos totales]]</f>
        <v>1.2479548125214595</v>
      </c>
      <c r="O1585" s="837">
        <f>IF(Indicadores[[#This Row],[Ventas]]=0,0,Indicadores[[#This Row],[EBITDA]]/Indicadores[[#This Row],[Ventas]])</f>
        <v>1.8667694403101148E-2</v>
      </c>
      <c r="P1585" s="837">
        <f>IF(Indicadores[[#This Row],[Ventas]]=0,0,Indicadores[[#This Row],[UAI]]/Indicadores[[#This Row],[Ventas]])</f>
        <v>-9.6775958617432486E-3</v>
      </c>
      <c r="Q1585" s="837">
        <f>IFERROR(Indicadores[[#This Row],[Ventas]]/Indicadores[[#This Row],[Activos totales]],0)</f>
        <v>1.2479548125214595</v>
      </c>
    </row>
    <row r="1586" spans="1:17" hidden="1" x14ac:dyDescent="0.3">
      <c r="A1586" s="13" t="str">
        <f>MID(Indicadores[[#This Row],[CIIU]],2,4)</f>
        <v>6202</v>
      </c>
      <c r="B1586" s="13" t="str">
        <f>Indicadores[[#This Row],[CIIU]]&amp;Indicadores[[#This Row],[Año]]</f>
        <v>J62022019</v>
      </c>
      <c r="C1586" s="845" t="s">
        <v>3093</v>
      </c>
      <c r="D1586" s="845" t="s">
        <v>3143</v>
      </c>
      <c r="E1586" s="843">
        <v>2019</v>
      </c>
      <c r="F1586" s="844" t="s">
        <v>3147</v>
      </c>
      <c r="G1586" s="842" t="s">
        <v>3148</v>
      </c>
      <c r="H1586" s="843" t="s">
        <v>3149</v>
      </c>
      <c r="I1586" s="842" t="s">
        <v>3148</v>
      </c>
      <c r="J1586" s="840">
        <v>487162592</v>
      </c>
      <c r="K1586" s="840">
        <v>669065286</v>
      </c>
      <c r="L1586" s="841">
        <v>5581419314</v>
      </c>
      <c r="M1586" s="840">
        <v>6569795976</v>
      </c>
      <c r="N1586" s="839">
        <f>Indicadores[[#This Row],[Ventas]]/Indicadores[[#This Row],[Activos totales]]</f>
        <v>1.1770833915883783</v>
      </c>
      <c r="O1586" s="837">
        <f>IF(Indicadores[[#This Row],[Ventas]]=0,0,Indicadores[[#This Row],[EBITDA]]/Indicadores[[#This Row],[Ventas]])</f>
        <v>0.10183958351890227</v>
      </c>
      <c r="P1586" s="837">
        <f>IF(Indicadores[[#This Row],[Ventas]]=0,0,Indicadores[[#This Row],[UAI]]/Indicadores[[#This Row],[Ventas]])</f>
        <v>7.4151860085099233E-2</v>
      </c>
      <c r="Q1586" s="837">
        <f>IFERROR(Indicadores[[#This Row],[Ventas]]/Indicadores[[#This Row],[Activos totales]],0)</f>
        <v>1.1770833915883783</v>
      </c>
    </row>
    <row r="1587" spans="1:17" hidden="1" x14ac:dyDescent="0.3">
      <c r="A1587" s="13" t="str">
        <f>MID(Indicadores[[#This Row],[CIIU]],2,4)</f>
        <v>6209</v>
      </c>
      <c r="B1587" s="13" t="str">
        <f>Indicadores[[#This Row],[CIIU]]&amp;Indicadores[[#This Row],[Año]]</f>
        <v>J62092019</v>
      </c>
      <c r="C1587" s="845" t="s">
        <v>3093</v>
      </c>
      <c r="D1587" s="845" t="s">
        <v>3143</v>
      </c>
      <c r="E1587" s="843">
        <v>2019</v>
      </c>
      <c r="F1587" s="844" t="s">
        <v>3150</v>
      </c>
      <c r="G1587" s="842" t="s">
        <v>3151</v>
      </c>
      <c r="H1587" s="843" t="s">
        <v>3152</v>
      </c>
      <c r="I1587" s="842" t="s">
        <v>3151</v>
      </c>
      <c r="J1587" s="840">
        <v>-84293617</v>
      </c>
      <c r="K1587" s="840">
        <v>-45122278</v>
      </c>
      <c r="L1587" s="841">
        <v>1502548665</v>
      </c>
      <c r="M1587" s="840">
        <v>1664742880</v>
      </c>
      <c r="N1587" s="839">
        <f>Indicadores[[#This Row],[Ventas]]/Indicadores[[#This Row],[Activos totales]]</f>
        <v>1.1079460644291346</v>
      </c>
      <c r="O1587" s="837">
        <f>IF(Indicadores[[#This Row],[Ventas]]=0,0,Indicadores[[#This Row],[EBITDA]]/Indicadores[[#This Row],[Ventas]])</f>
        <v>-2.7104652941960624E-2</v>
      </c>
      <c r="P1587" s="837">
        <f>IF(Indicadores[[#This Row],[Ventas]]=0,0,Indicadores[[#This Row],[UAI]]/Indicadores[[#This Row],[Ventas]])</f>
        <v>-5.0634616319848745E-2</v>
      </c>
      <c r="Q1587" s="837">
        <f>IFERROR(Indicadores[[#This Row],[Ventas]]/Indicadores[[#This Row],[Activos totales]],0)</f>
        <v>1.1079460644291346</v>
      </c>
    </row>
    <row r="1588" spans="1:17" hidden="1" x14ac:dyDescent="0.3">
      <c r="A1588" s="13" t="str">
        <f>MID(Indicadores[[#This Row],[CIIU]],2,4)</f>
        <v>6311</v>
      </c>
      <c r="B1588" s="13" t="str">
        <f>Indicadores[[#This Row],[CIIU]]&amp;Indicadores[[#This Row],[Año]]</f>
        <v>J63112019</v>
      </c>
      <c r="C1588" s="845" t="s">
        <v>3093</v>
      </c>
      <c r="D1588" s="845" t="s">
        <v>3153</v>
      </c>
      <c r="E1588" s="843">
        <v>2019</v>
      </c>
      <c r="F1588" s="844" t="s">
        <v>3154</v>
      </c>
      <c r="G1588" s="842" t="s">
        <v>3155</v>
      </c>
      <c r="H1588" s="843" t="s">
        <v>3156</v>
      </c>
      <c r="I1588" s="842" t="s">
        <v>3155</v>
      </c>
      <c r="J1588" s="840">
        <v>177927413</v>
      </c>
      <c r="K1588" s="840">
        <v>270997125</v>
      </c>
      <c r="L1588" s="841">
        <v>2423615987</v>
      </c>
      <c r="M1588" s="840">
        <v>1614136270</v>
      </c>
      <c r="N1588" s="839">
        <f>Indicadores[[#This Row],[Ventas]]/Indicadores[[#This Row],[Activos totales]]</f>
        <v>0.66600331020179893</v>
      </c>
      <c r="O1588" s="837">
        <f>IF(Indicadores[[#This Row],[Ventas]]=0,0,Indicadores[[#This Row],[EBITDA]]/Indicadores[[#This Row],[Ventas]])</f>
        <v>0.16788986781147047</v>
      </c>
      <c r="P1588" s="837">
        <f>IF(Indicadores[[#This Row],[Ventas]]=0,0,Indicadores[[#This Row],[UAI]]/Indicadores[[#This Row],[Ventas]])</f>
        <v>0.11023072605883517</v>
      </c>
      <c r="Q1588" s="837">
        <f>IFERROR(Indicadores[[#This Row],[Ventas]]/Indicadores[[#This Row],[Activos totales]],0)</f>
        <v>0.66600331020179893</v>
      </c>
    </row>
    <row r="1589" spans="1:17" hidden="1" x14ac:dyDescent="0.3">
      <c r="A1589" s="13" t="str">
        <f>MID(Indicadores[[#This Row],[CIIU]],2,4)</f>
        <v>6312</v>
      </c>
      <c r="B1589" s="13" t="str">
        <f>Indicadores[[#This Row],[CIIU]]&amp;Indicadores[[#This Row],[Año]]</f>
        <v>J63122019</v>
      </c>
      <c r="C1589" s="845" t="s">
        <v>3093</v>
      </c>
      <c r="D1589" s="845" t="s">
        <v>3153</v>
      </c>
      <c r="E1589" s="843">
        <v>2019</v>
      </c>
      <c r="F1589" s="844" t="s">
        <v>3157</v>
      </c>
      <c r="G1589" s="842" t="s">
        <v>3158</v>
      </c>
      <c r="H1589" s="843" t="s">
        <v>3159</v>
      </c>
      <c r="I1589" s="842" t="s">
        <v>3158</v>
      </c>
      <c r="J1589" s="840">
        <v>-7654539</v>
      </c>
      <c r="K1589" s="840">
        <v>-5472543</v>
      </c>
      <c r="L1589" s="841">
        <v>33340818</v>
      </c>
      <c r="M1589" s="840">
        <v>55485897</v>
      </c>
      <c r="N1589" s="839">
        <f>Indicadores[[#This Row],[Ventas]]/Indicadores[[#This Row],[Activos totales]]</f>
        <v>1.6642032298067793</v>
      </c>
      <c r="O1589" s="837">
        <f>IF(Indicadores[[#This Row],[Ventas]]=0,0,Indicadores[[#This Row],[EBITDA]]/Indicadores[[#This Row],[Ventas]])</f>
        <v>-9.8629440919014072E-2</v>
      </c>
      <c r="P1589" s="837">
        <f>IF(Indicadores[[#This Row],[Ventas]]=0,0,Indicadores[[#This Row],[UAI]]/Indicadores[[#This Row],[Ventas]])</f>
        <v>-0.13795467702360475</v>
      </c>
      <c r="Q1589" s="837">
        <f>IFERROR(Indicadores[[#This Row],[Ventas]]/Indicadores[[#This Row],[Activos totales]],0)</f>
        <v>1.6642032298067793</v>
      </c>
    </row>
    <row r="1590" spans="1:17" hidden="1" x14ac:dyDescent="0.3">
      <c r="A1590" s="13" t="str">
        <f>MID(Indicadores[[#This Row],[CIIU]],2,4)</f>
        <v>6391</v>
      </c>
      <c r="B1590" s="13" t="str">
        <f>Indicadores[[#This Row],[CIIU]]&amp;Indicadores[[#This Row],[Año]]</f>
        <v>J63912019</v>
      </c>
      <c r="C1590" s="845" t="s">
        <v>3093</v>
      </c>
      <c r="D1590" s="845" t="s">
        <v>3153</v>
      </c>
      <c r="E1590" s="843">
        <v>2019</v>
      </c>
      <c r="F1590" s="844" t="s">
        <v>3160</v>
      </c>
      <c r="G1590" s="842" t="s">
        <v>3161</v>
      </c>
      <c r="H1590" s="843" t="s">
        <v>3162</v>
      </c>
      <c r="I1590" s="842" t="s">
        <v>3161</v>
      </c>
      <c r="J1590" s="840">
        <v>476982</v>
      </c>
      <c r="K1590" s="840">
        <v>1881292</v>
      </c>
      <c r="L1590" s="841">
        <v>10642629</v>
      </c>
      <c r="M1590" s="840">
        <v>9806993</v>
      </c>
      <c r="N1590" s="839">
        <f>Indicadores[[#This Row],[Ventas]]/Indicadores[[#This Row],[Activos totales]]</f>
        <v>0.92148218264490855</v>
      </c>
      <c r="O1590" s="837">
        <f>IF(Indicadores[[#This Row],[Ventas]]=0,0,Indicadores[[#This Row],[EBITDA]]/Indicadores[[#This Row],[Ventas]])</f>
        <v>0.19183168581847668</v>
      </c>
      <c r="P1590" s="837">
        <f>IF(Indicadores[[#This Row],[Ventas]]=0,0,Indicadores[[#This Row],[UAI]]/Indicadores[[#This Row],[Ventas]])</f>
        <v>4.8636926731771911E-2</v>
      </c>
      <c r="Q1590" s="837">
        <f>IFERROR(Indicadores[[#This Row],[Ventas]]/Indicadores[[#This Row],[Activos totales]],0)</f>
        <v>0.92148218264490855</v>
      </c>
    </row>
    <row r="1591" spans="1:17" hidden="1" x14ac:dyDescent="0.3">
      <c r="A1591" s="13" t="str">
        <f>MID(Indicadores[[#This Row],[CIIU]],2,4)</f>
        <v>6399</v>
      </c>
      <c r="B1591" s="13" t="str">
        <f>Indicadores[[#This Row],[CIIU]]&amp;Indicadores[[#This Row],[Año]]</f>
        <v>J63992019</v>
      </c>
      <c r="C1591" s="845" t="s">
        <v>3093</v>
      </c>
      <c r="D1591" s="845" t="s">
        <v>3153</v>
      </c>
      <c r="E1591" s="843">
        <v>2019</v>
      </c>
      <c r="F1591" s="844" t="s">
        <v>3163</v>
      </c>
      <c r="G1591" s="842" t="s">
        <v>3164</v>
      </c>
      <c r="H1591" s="843" t="s">
        <v>3165</v>
      </c>
      <c r="I1591" s="842" t="s">
        <v>3164</v>
      </c>
      <c r="J1591" s="840">
        <v>120351175</v>
      </c>
      <c r="K1591" s="840">
        <v>140043564</v>
      </c>
      <c r="L1591" s="841">
        <v>1591986336</v>
      </c>
      <c r="M1591" s="840">
        <v>491920899</v>
      </c>
      <c r="N1591" s="839">
        <f>Indicadores[[#This Row],[Ventas]]/Indicadores[[#This Row],[Activos totales]]</f>
        <v>0.30899819167794668</v>
      </c>
      <c r="O1591" s="837">
        <f>IF(Indicadores[[#This Row],[Ventas]]=0,0,Indicadores[[#This Row],[EBITDA]]/Indicadores[[#This Row],[Ventas]])</f>
        <v>0.28468716064856597</v>
      </c>
      <c r="P1591" s="837">
        <f>IF(Indicadores[[#This Row],[Ventas]]=0,0,Indicadores[[#This Row],[UAI]]/Indicadores[[#This Row],[Ventas]])</f>
        <v>0.24465554369545092</v>
      </c>
      <c r="Q1591" s="837">
        <f>IFERROR(Indicadores[[#This Row],[Ventas]]/Indicadores[[#This Row],[Activos totales]],0)</f>
        <v>0.30899819167794668</v>
      </c>
    </row>
    <row r="1592" spans="1:17" hidden="1" x14ac:dyDescent="0.3">
      <c r="A1592" s="13" t="str">
        <f>MID(Indicadores[[#This Row],[CIIU]],2,4)</f>
        <v>6421</v>
      </c>
      <c r="B1592" s="13" t="str">
        <f>Indicadores[[#This Row],[CIIU]]&amp;Indicadores[[#This Row],[Año]]</f>
        <v>K64212019</v>
      </c>
      <c r="C1592" s="845" t="s">
        <v>3166</v>
      </c>
      <c r="D1592" s="845" t="s">
        <v>3167</v>
      </c>
      <c r="E1592" s="843">
        <v>2019</v>
      </c>
      <c r="F1592" s="844" t="s">
        <v>3171</v>
      </c>
      <c r="G1592" s="842" t="s">
        <v>3172</v>
      </c>
      <c r="H1592" s="843" t="s">
        <v>3173</v>
      </c>
      <c r="I1592" s="842" t="s">
        <v>3172</v>
      </c>
      <c r="J1592" s="840">
        <v>231445</v>
      </c>
      <c r="K1592" s="840">
        <v>861342</v>
      </c>
      <c r="L1592" s="841">
        <v>6195354</v>
      </c>
      <c r="M1592" s="840">
        <v>6727597</v>
      </c>
      <c r="N1592" s="839">
        <f>Indicadores[[#This Row],[Ventas]]/Indicadores[[#This Row],[Activos totales]]</f>
        <v>1.0859100222521587</v>
      </c>
      <c r="O1592" s="837">
        <f>IF(Indicadores[[#This Row],[Ventas]]=0,0,Indicadores[[#This Row],[EBITDA]]/Indicadores[[#This Row],[Ventas]])</f>
        <v>0.12803115287672553</v>
      </c>
      <c r="P1592" s="837">
        <f>IF(Indicadores[[#This Row],[Ventas]]=0,0,Indicadores[[#This Row],[UAI]]/Indicadores[[#This Row],[Ventas]])</f>
        <v>3.440232820128792E-2</v>
      </c>
      <c r="Q1592" s="837">
        <f>IFERROR(Indicadores[[#This Row],[Ventas]]/Indicadores[[#This Row],[Activos totales]],0)</f>
        <v>1.0859100222521587</v>
      </c>
    </row>
    <row r="1593" spans="1:17" hidden="1" x14ac:dyDescent="0.3">
      <c r="A1593" s="13" t="str">
        <f>MID(Indicadores[[#This Row],[CIIU]],2,4)</f>
        <v>6422</v>
      </c>
      <c r="B1593" s="13" t="str">
        <f>Indicadores[[#This Row],[CIIU]]&amp;Indicadores[[#This Row],[Año]]</f>
        <v>K64222019</v>
      </c>
      <c r="C1593" s="845" t="s">
        <v>3166</v>
      </c>
      <c r="D1593" s="845" t="s">
        <v>3167</v>
      </c>
      <c r="E1593" s="843">
        <v>2019</v>
      </c>
      <c r="F1593" s="844" t="s">
        <v>3174</v>
      </c>
      <c r="G1593" s="842" t="s">
        <v>3175</v>
      </c>
      <c r="H1593" s="843" t="s">
        <v>3176</v>
      </c>
      <c r="I1593" s="842" t="s">
        <v>3175</v>
      </c>
      <c r="J1593" s="840">
        <v>-3784598</v>
      </c>
      <c r="K1593" s="840">
        <v>-1630062</v>
      </c>
      <c r="L1593" s="841">
        <v>480417342</v>
      </c>
      <c r="M1593" s="840">
        <v>64180021</v>
      </c>
      <c r="N1593" s="839">
        <f>Indicadores[[#This Row],[Ventas]]/Indicadores[[#This Row],[Activos totales]]</f>
        <v>0.13359222365457407</v>
      </c>
      <c r="O1593" s="837">
        <f>IF(Indicadores[[#This Row],[Ventas]]=0,0,Indicadores[[#This Row],[EBITDA]]/Indicadores[[#This Row],[Ventas]])</f>
        <v>-2.5398277759990137E-2</v>
      </c>
      <c r="P1593" s="837">
        <f>IF(Indicadores[[#This Row],[Ventas]]=0,0,Indicadores[[#This Row],[UAI]]/Indicadores[[#This Row],[Ventas]])</f>
        <v>-5.8968475563446761E-2</v>
      </c>
      <c r="Q1593" s="837">
        <f>IFERROR(Indicadores[[#This Row],[Ventas]]/Indicadores[[#This Row],[Activos totales]],0)</f>
        <v>0.13359222365457407</v>
      </c>
    </row>
    <row r="1594" spans="1:17" hidden="1" x14ac:dyDescent="0.3">
      <c r="A1594" s="13" t="str">
        <f>MID(Indicadores[[#This Row],[CIIU]],2,4)</f>
        <v>6424</v>
      </c>
      <c r="B1594" s="13" t="str">
        <f>Indicadores[[#This Row],[CIIU]]&amp;Indicadores[[#This Row],[Año]]</f>
        <v>K64242019</v>
      </c>
      <c r="C1594" s="845" t="s">
        <v>3166</v>
      </c>
      <c r="D1594" s="845" t="s">
        <v>3167</v>
      </c>
      <c r="E1594" s="843">
        <v>2019</v>
      </c>
      <c r="F1594" s="844" t="s">
        <v>3180</v>
      </c>
      <c r="G1594" s="842" t="s">
        <v>3181</v>
      </c>
      <c r="H1594" s="843" t="s">
        <v>3182</v>
      </c>
      <c r="I1594" s="842" t="s">
        <v>3181</v>
      </c>
      <c r="J1594" s="840">
        <v>850402</v>
      </c>
      <c r="K1594" s="840">
        <v>924494</v>
      </c>
      <c r="L1594" s="841">
        <v>165887153</v>
      </c>
      <c r="M1594" s="840">
        <v>2373559</v>
      </c>
      <c r="N1594" s="839">
        <f>Indicadores[[#This Row],[Ventas]]/Indicadores[[#This Row],[Activos totales]]</f>
        <v>1.4308274975338205E-2</v>
      </c>
      <c r="O1594" s="837">
        <f>IF(Indicadores[[#This Row],[Ventas]]=0,0,Indicadores[[#This Row],[EBITDA]]/Indicadores[[#This Row],[Ventas]])</f>
        <v>0.38949695373066351</v>
      </c>
      <c r="P1594" s="837">
        <f>IF(Indicadores[[#This Row],[Ventas]]=0,0,Indicadores[[#This Row],[UAI]]/Indicadores[[#This Row],[Ventas]])</f>
        <v>0.358281382514612</v>
      </c>
      <c r="Q1594" s="837">
        <f>IFERROR(Indicadores[[#This Row],[Ventas]]/Indicadores[[#This Row],[Activos totales]],0)</f>
        <v>1.4308274975338205E-2</v>
      </c>
    </row>
    <row r="1595" spans="1:17" hidden="1" x14ac:dyDescent="0.3">
      <c r="A1595" s="13" t="str">
        <f>MID(Indicadores[[#This Row],[CIIU]],2,4)</f>
        <v>6431</v>
      </c>
      <c r="B1595" s="13" t="str">
        <f>Indicadores[[#This Row],[CIIU]]&amp;Indicadores[[#This Row],[Año]]</f>
        <v>K64312019</v>
      </c>
      <c r="C1595" s="845" t="s">
        <v>3166</v>
      </c>
      <c r="D1595" s="845" t="s">
        <v>3167</v>
      </c>
      <c r="E1595" s="843">
        <v>2019</v>
      </c>
      <c r="F1595" s="844" t="s">
        <v>3183</v>
      </c>
      <c r="G1595" s="842" t="s">
        <v>3184</v>
      </c>
      <c r="H1595" s="843" t="s">
        <v>3185</v>
      </c>
      <c r="I1595" s="842" t="s">
        <v>3184</v>
      </c>
      <c r="J1595" s="840">
        <v>12014968</v>
      </c>
      <c r="K1595" s="840">
        <v>12358075</v>
      </c>
      <c r="L1595" s="841">
        <v>50769579</v>
      </c>
      <c r="M1595" s="840">
        <v>24151596</v>
      </c>
      <c r="N1595" s="839">
        <f>Indicadores[[#This Row],[Ventas]]/Indicadores[[#This Row],[Activos totales]]</f>
        <v>0.47570999160737576</v>
      </c>
      <c r="O1595" s="837">
        <f>IF(Indicadores[[#This Row],[Ventas]]=0,0,Indicadores[[#This Row],[EBITDA]]/Indicadores[[#This Row],[Ventas]])</f>
        <v>0.51168771620724363</v>
      </c>
      <c r="P1595" s="837">
        <f>IF(Indicadores[[#This Row],[Ventas]]=0,0,Indicadores[[#This Row],[UAI]]/Indicadores[[#This Row],[Ventas]])</f>
        <v>0.49748132587179744</v>
      </c>
      <c r="Q1595" s="837">
        <f>IFERROR(Indicadores[[#This Row],[Ventas]]/Indicadores[[#This Row],[Activos totales]],0)</f>
        <v>0.47570999160737576</v>
      </c>
    </row>
    <row r="1596" spans="1:17" hidden="1" x14ac:dyDescent="0.3">
      <c r="A1596" s="13" t="str">
        <f>MID(Indicadores[[#This Row],[CIIU]],2,4)</f>
        <v>6493</v>
      </c>
      <c r="B1596" s="13" t="str">
        <f>Indicadores[[#This Row],[CIIU]]&amp;Indicadores[[#This Row],[Año]]</f>
        <v>K64932019</v>
      </c>
      <c r="C1596" s="845" t="s">
        <v>3166</v>
      </c>
      <c r="D1596" s="845" t="s">
        <v>3167</v>
      </c>
      <c r="E1596" s="843">
        <v>2019</v>
      </c>
      <c r="F1596" s="844" t="s">
        <v>3189</v>
      </c>
      <c r="G1596" s="842" t="s">
        <v>3190</v>
      </c>
      <c r="H1596" s="843" t="s">
        <v>3191</v>
      </c>
      <c r="I1596" s="842" t="s">
        <v>3190</v>
      </c>
      <c r="J1596" s="840">
        <v>156977863</v>
      </c>
      <c r="K1596" s="840">
        <v>195337971</v>
      </c>
      <c r="L1596" s="841">
        <v>3086683112</v>
      </c>
      <c r="M1596" s="840">
        <v>639959216</v>
      </c>
      <c r="N1596" s="839">
        <f>Indicadores[[#This Row],[Ventas]]/Indicadores[[#This Row],[Activos totales]]</f>
        <v>0.20732909494727556</v>
      </c>
      <c r="O1596" s="837">
        <f>IF(Indicadores[[#This Row],[Ventas]]=0,0,Indicadores[[#This Row],[EBITDA]]/Indicadores[[#This Row],[Ventas]])</f>
        <v>0.3052350307898371</v>
      </c>
      <c r="P1596" s="837">
        <f>IF(Indicadores[[#This Row],[Ventas]]=0,0,Indicadores[[#This Row],[UAI]]/Indicadores[[#This Row],[Ventas]])</f>
        <v>0.24529354226848105</v>
      </c>
      <c r="Q1596" s="837">
        <f>IFERROR(Indicadores[[#This Row],[Ventas]]/Indicadores[[#This Row],[Activos totales]],0)</f>
        <v>0.20732909494727556</v>
      </c>
    </row>
    <row r="1597" spans="1:17" hidden="1" x14ac:dyDescent="0.3">
      <c r="A1597" s="13" t="str">
        <f>MID(Indicadores[[#This Row],[CIIU]],2,4)</f>
        <v>6494</v>
      </c>
      <c r="B1597" s="13" t="str">
        <f>Indicadores[[#This Row],[CIIU]]&amp;Indicadores[[#This Row],[Año]]</f>
        <v>K64942019</v>
      </c>
      <c r="C1597" s="845" t="s">
        <v>3166</v>
      </c>
      <c r="D1597" s="845" t="s">
        <v>3167</v>
      </c>
      <c r="E1597" s="843">
        <v>2019</v>
      </c>
      <c r="F1597" s="844" t="s">
        <v>3192</v>
      </c>
      <c r="G1597" s="842" t="s">
        <v>3193</v>
      </c>
      <c r="H1597" s="843" t="s">
        <v>3194</v>
      </c>
      <c r="I1597" s="842" t="s">
        <v>3193</v>
      </c>
      <c r="J1597" s="840">
        <v>5701064224</v>
      </c>
      <c r="K1597" s="840">
        <v>5712858014</v>
      </c>
      <c r="L1597" s="841">
        <v>51121209703</v>
      </c>
      <c r="M1597" s="840">
        <v>1788077634</v>
      </c>
      <c r="N1597" s="839">
        <f>Indicadores[[#This Row],[Ventas]]/Indicadores[[#This Row],[Activos totales]]</f>
        <v>3.4977216783175384E-2</v>
      </c>
      <c r="O1597" s="837">
        <f>IF(Indicadores[[#This Row],[Ventas]]=0,0,Indicadores[[#This Row],[EBITDA]]/Indicadores[[#This Row],[Ventas]])</f>
        <v>3.1949720221152322</v>
      </c>
      <c r="P1597" s="837">
        <f>IF(Indicadores[[#This Row],[Ventas]]=0,0,Indicadores[[#This Row],[UAI]]/Indicadores[[#This Row],[Ventas]])</f>
        <v>3.1883762290826798</v>
      </c>
      <c r="Q1597" s="837">
        <f>IFERROR(Indicadores[[#This Row],[Ventas]]/Indicadores[[#This Row],[Activos totales]],0)</f>
        <v>3.4977216783175384E-2</v>
      </c>
    </row>
    <row r="1598" spans="1:17" hidden="1" x14ac:dyDescent="0.3">
      <c r="A1598" s="13" t="str">
        <f>MID(Indicadores[[#This Row],[CIIU]],2,4)</f>
        <v>6495</v>
      </c>
      <c r="B1598" s="13" t="str">
        <f>Indicadores[[#This Row],[CIIU]]&amp;Indicadores[[#This Row],[Año]]</f>
        <v>K64952019</v>
      </c>
      <c r="C1598" s="845" t="s">
        <v>3166</v>
      </c>
      <c r="D1598" s="845" t="s">
        <v>3167</v>
      </c>
      <c r="E1598" s="843">
        <v>2019</v>
      </c>
      <c r="F1598" s="844" t="s">
        <v>3195</v>
      </c>
      <c r="G1598" s="842" t="s">
        <v>3196</v>
      </c>
      <c r="H1598" s="843" t="s">
        <v>3197</v>
      </c>
      <c r="I1598" s="842" t="s">
        <v>3196</v>
      </c>
      <c r="J1598" s="840">
        <v>5550120</v>
      </c>
      <c r="K1598" s="840">
        <v>5688175</v>
      </c>
      <c r="L1598" s="841">
        <v>99044977</v>
      </c>
      <c r="M1598" s="840">
        <v>14131769</v>
      </c>
      <c r="N1598" s="839">
        <f>Indicadores[[#This Row],[Ventas]]/Indicadores[[#This Row],[Activos totales]]</f>
        <v>0.14268031987124394</v>
      </c>
      <c r="O1598" s="837">
        <f>IF(Indicadores[[#This Row],[Ventas]]=0,0,Indicadores[[#This Row],[EBITDA]]/Indicadores[[#This Row],[Ventas]])</f>
        <v>0.40250976363964058</v>
      </c>
      <c r="P1598" s="837">
        <f>IF(Indicadores[[#This Row],[Ventas]]=0,0,Indicadores[[#This Row],[UAI]]/Indicadores[[#This Row],[Ventas]])</f>
        <v>0.39274063990148722</v>
      </c>
      <c r="Q1598" s="837">
        <f>IFERROR(Indicadores[[#This Row],[Ventas]]/Indicadores[[#This Row],[Activos totales]],0)</f>
        <v>0.14268031987124394</v>
      </c>
    </row>
    <row r="1599" spans="1:17" hidden="1" x14ac:dyDescent="0.3">
      <c r="A1599" s="13" t="str">
        <f>MID(Indicadores[[#This Row],[CIIU]],2,4)</f>
        <v>6499</v>
      </c>
      <c r="B1599" s="13" t="str">
        <f>Indicadores[[#This Row],[CIIU]]&amp;Indicadores[[#This Row],[Año]]</f>
        <v>K64992019</v>
      </c>
      <c r="C1599" s="845" t="s">
        <v>3166</v>
      </c>
      <c r="D1599" s="845" t="s">
        <v>3167</v>
      </c>
      <c r="E1599" s="843">
        <v>2019</v>
      </c>
      <c r="F1599" s="844" t="s">
        <v>3198</v>
      </c>
      <c r="G1599" s="842" t="s">
        <v>3199</v>
      </c>
      <c r="H1599" s="843" t="s">
        <v>3200</v>
      </c>
      <c r="I1599" s="842" t="s">
        <v>3199</v>
      </c>
      <c r="J1599" s="840">
        <v>2333762744</v>
      </c>
      <c r="K1599" s="840">
        <v>2398068142</v>
      </c>
      <c r="L1599" s="841">
        <v>33840048353</v>
      </c>
      <c r="M1599" s="840">
        <v>4039223161</v>
      </c>
      <c r="N1599" s="839">
        <f>Indicadores[[#This Row],[Ventas]]/Indicadores[[#This Row],[Activos totales]]</f>
        <v>0.11936221600114567</v>
      </c>
      <c r="O1599" s="837">
        <f>IF(Indicadores[[#This Row],[Ventas]]=0,0,Indicadores[[#This Row],[EBITDA]]/Indicadores[[#This Row],[Ventas]])</f>
        <v>0.59369538310091896</v>
      </c>
      <c r="P1599" s="837">
        <f>IF(Indicadores[[#This Row],[Ventas]]=0,0,Indicadores[[#This Row],[UAI]]/Indicadores[[#This Row],[Ventas]])</f>
        <v>0.57777514412504627</v>
      </c>
      <c r="Q1599" s="837">
        <f>IFERROR(Indicadores[[#This Row],[Ventas]]/Indicadores[[#This Row],[Activos totales]],0)</f>
        <v>0.11936221600114567</v>
      </c>
    </row>
    <row r="1600" spans="1:17" hidden="1" x14ac:dyDescent="0.3">
      <c r="A1600" s="13" t="str">
        <f>MID(Indicadores[[#This Row],[CIIU]],2,4)</f>
        <v>6511</v>
      </c>
      <c r="B1600" s="13" t="str">
        <f>Indicadores[[#This Row],[CIIU]]&amp;Indicadores[[#This Row],[Año]]</f>
        <v>K65112019</v>
      </c>
      <c r="C1600" s="845" t="s">
        <v>3166</v>
      </c>
      <c r="D1600" s="845" t="s">
        <v>3201</v>
      </c>
      <c r="E1600" s="843">
        <v>2019</v>
      </c>
      <c r="F1600" s="844" t="s">
        <v>3202</v>
      </c>
      <c r="G1600" s="842" t="s">
        <v>3203</v>
      </c>
      <c r="H1600" s="843" t="s">
        <v>3204</v>
      </c>
      <c r="I1600" s="842" t="s">
        <v>3205</v>
      </c>
      <c r="J1600" s="840">
        <v>7392541</v>
      </c>
      <c r="K1600" s="840">
        <v>7432541</v>
      </c>
      <c r="L1600" s="841">
        <v>27258845</v>
      </c>
      <c r="M1600" s="840">
        <v>7477905</v>
      </c>
      <c r="N1600" s="839">
        <f>Indicadores[[#This Row],[Ventas]]/Indicadores[[#This Row],[Activos totales]]</f>
        <v>0.27432948828169351</v>
      </c>
      <c r="O1600" s="837">
        <f>IF(Indicadores[[#This Row],[Ventas]]=0,0,Indicadores[[#This Row],[EBITDA]]/Indicadores[[#This Row],[Ventas]])</f>
        <v>0.99393359503764755</v>
      </c>
      <c r="P1600" s="837">
        <f>IF(Indicadores[[#This Row],[Ventas]]=0,0,Indicadores[[#This Row],[UAI]]/Indicadores[[#This Row],[Ventas]])</f>
        <v>0.98858450327999625</v>
      </c>
      <c r="Q1600" s="837">
        <f>IFERROR(Indicadores[[#This Row],[Ventas]]/Indicadores[[#This Row],[Activos totales]],0)</f>
        <v>0.27432948828169351</v>
      </c>
    </row>
    <row r="1601" spans="1:17" hidden="1" x14ac:dyDescent="0.3">
      <c r="A1601" s="13" t="str">
        <f>MID(Indicadores[[#This Row],[CIIU]],2,4)</f>
        <v>6512</v>
      </c>
      <c r="B1601" s="13" t="str">
        <f>Indicadores[[#This Row],[CIIU]]&amp;Indicadores[[#This Row],[Año]]</f>
        <v>K65122019</v>
      </c>
      <c r="C1601" s="845" t="s">
        <v>3166</v>
      </c>
      <c r="D1601" s="845" t="s">
        <v>3201</v>
      </c>
      <c r="E1601" s="843">
        <v>2019</v>
      </c>
      <c r="F1601" s="844" t="s">
        <v>3600</v>
      </c>
      <c r="G1601" s="842" t="s">
        <v>3601</v>
      </c>
      <c r="H1601" s="843" t="s">
        <v>3602</v>
      </c>
      <c r="I1601" s="842" t="s">
        <v>3601</v>
      </c>
      <c r="J1601" s="840">
        <v>43288</v>
      </c>
      <c r="K1601" s="840">
        <v>43288</v>
      </c>
      <c r="L1601" s="841">
        <v>60213</v>
      </c>
      <c r="M1601" s="840">
        <v>492953</v>
      </c>
      <c r="N1601" s="839">
        <f>Indicadores[[#This Row],[Ventas]]/Indicadores[[#This Row],[Activos totales]]</f>
        <v>8.1868201219005865</v>
      </c>
      <c r="O1601" s="837">
        <f>IF(Indicadores[[#This Row],[Ventas]]=0,0,Indicadores[[#This Row],[EBITDA]]/Indicadores[[#This Row],[Ventas]])</f>
        <v>8.7813645519958294E-2</v>
      </c>
      <c r="P1601" s="837">
        <f>IF(Indicadores[[#This Row],[Ventas]]=0,0,Indicadores[[#This Row],[UAI]]/Indicadores[[#This Row],[Ventas]])</f>
        <v>8.7813645519958294E-2</v>
      </c>
      <c r="Q1601" s="837">
        <f>IFERROR(Indicadores[[#This Row],[Ventas]]/Indicadores[[#This Row],[Activos totales]],0)</f>
        <v>8.1868201219005865</v>
      </c>
    </row>
    <row r="1602" spans="1:17" hidden="1" x14ac:dyDescent="0.3">
      <c r="A1602" s="13" t="str">
        <f>MID(Indicadores[[#This Row],[CIIU]],2,4)</f>
        <v>6513</v>
      </c>
      <c r="B1602" s="13" t="str">
        <f>Indicadores[[#This Row],[CIIU]]&amp;Indicadores[[#This Row],[Año]]</f>
        <v>K65132019</v>
      </c>
      <c r="C1602" s="845" t="s">
        <v>3166</v>
      </c>
      <c r="D1602" s="845" t="s">
        <v>3201</v>
      </c>
      <c r="E1602" s="843">
        <v>2019</v>
      </c>
      <c r="F1602" s="844" t="s">
        <v>3573</v>
      </c>
      <c r="G1602" s="842" t="s">
        <v>3574</v>
      </c>
      <c r="H1602" s="843" t="s">
        <v>3575</v>
      </c>
      <c r="I1602" s="842" t="s">
        <v>3574</v>
      </c>
      <c r="J1602" s="840">
        <v>-11546</v>
      </c>
      <c r="K1602" s="840">
        <v>-11546</v>
      </c>
      <c r="L1602" s="841">
        <v>4988470</v>
      </c>
      <c r="M1602" s="840">
        <v>3500</v>
      </c>
      <c r="N1602" s="839">
        <f>Indicadores[[#This Row],[Ventas]]/Indicadores[[#This Row],[Activos totales]]</f>
        <v>7.0161793094876781E-4</v>
      </c>
      <c r="O1602" s="837">
        <f>IF(Indicadores[[#This Row],[Ventas]]=0,0,Indicadores[[#This Row],[EBITDA]]/Indicadores[[#This Row],[Ventas]])</f>
        <v>-3.2988571428571429</v>
      </c>
      <c r="P1602" s="837">
        <f>IF(Indicadores[[#This Row],[Ventas]]=0,0,Indicadores[[#This Row],[UAI]]/Indicadores[[#This Row],[Ventas]])</f>
        <v>-3.2988571428571429</v>
      </c>
      <c r="Q1602" s="837">
        <f>IFERROR(Indicadores[[#This Row],[Ventas]]/Indicadores[[#This Row],[Activos totales]],0)</f>
        <v>7.0161793094876781E-4</v>
      </c>
    </row>
    <row r="1603" spans="1:17" hidden="1" x14ac:dyDescent="0.3">
      <c r="A1603" s="13" t="str">
        <f>MID(Indicadores[[#This Row],[CIIU]],2,4)</f>
        <v>6514</v>
      </c>
      <c r="B1603" s="13" t="str">
        <f>Indicadores[[#This Row],[CIIU]]&amp;Indicadores[[#This Row],[Año]]</f>
        <v>K65142019</v>
      </c>
      <c r="C1603" s="845" t="s">
        <v>3166</v>
      </c>
      <c r="D1603" s="845" t="s">
        <v>3201</v>
      </c>
      <c r="E1603" s="843">
        <v>2019</v>
      </c>
      <c r="F1603" s="844" t="s">
        <v>3206</v>
      </c>
      <c r="G1603" s="842" t="s">
        <v>3207</v>
      </c>
      <c r="H1603" s="843" t="s">
        <v>3208</v>
      </c>
      <c r="I1603" s="842" t="s">
        <v>3207</v>
      </c>
      <c r="J1603" s="840">
        <v>6329264</v>
      </c>
      <c r="K1603" s="840">
        <v>6329264</v>
      </c>
      <c r="L1603" s="841">
        <v>5010802</v>
      </c>
      <c r="M1603" s="840">
        <v>6355672</v>
      </c>
      <c r="N1603" s="839">
        <f>Indicadores[[#This Row],[Ventas]]/Indicadores[[#This Row],[Activos totales]]</f>
        <v>1.2683941612540268</v>
      </c>
      <c r="O1603" s="837">
        <f>IF(Indicadores[[#This Row],[Ventas]]=0,0,Indicadores[[#This Row],[EBITDA]]/Indicadores[[#This Row],[Ventas]])</f>
        <v>0.99584497123199556</v>
      </c>
      <c r="P1603" s="837">
        <f>IF(Indicadores[[#This Row],[Ventas]]=0,0,Indicadores[[#This Row],[UAI]]/Indicadores[[#This Row],[Ventas]])</f>
        <v>0.99584497123199556</v>
      </c>
      <c r="Q1603" s="837">
        <f>IFERROR(Indicadores[[#This Row],[Ventas]]/Indicadores[[#This Row],[Activos totales]],0)</f>
        <v>1.2683941612540268</v>
      </c>
    </row>
    <row r="1604" spans="1:17" hidden="1" x14ac:dyDescent="0.3">
      <c r="A1604" s="13" t="str">
        <f>MID(Indicadores[[#This Row],[CIIU]],2,4)</f>
        <v>6521</v>
      </c>
      <c r="B1604" s="13" t="str">
        <f>Indicadores[[#This Row],[CIIU]]&amp;Indicadores[[#This Row],[Año]]</f>
        <v>K65212019</v>
      </c>
      <c r="C1604" s="845" t="s">
        <v>3166</v>
      </c>
      <c r="D1604" s="845" t="s">
        <v>3201</v>
      </c>
      <c r="E1604" s="843">
        <v>2019</v>
      </c>
      <c r="F1604" s="844" t="s">
        <v>3209</v>
      </c>
      <c r="G1604" s="842" t="s">
        <v>3210</v>
      </c>
      <c r="H1604" s="843" t="s">
        <v>3211</v>
      </c>
      <c r="I1604" s="842" t="s">
        <v>3210</v>
      </c>
      <c r="J1604" s="840">
        <v>129686</v>
      </c>
      <c r="K1604" s="840">
        <v>642053</v>
      </c>
      <c r="L1604" s="841">
        <v>27963004</v>
      </c>
      <c r="M1604" s="840">
        <v>25028924</v>
      </c>
      <c r="N1604" s="839">
        <f>Indicadores[[#This Row],[Ventas]]/Indicadores[[#This Row],[Activos totales]]</f>
        <v>0.89507278974748206</v>
      </c>
      <c r="O1604" s="837">
        <f>IF(Indicadores[[#This Row],[Ventas]]=0,0,Indicadores[[#This Row],[EBITDA]]/Indicadores[[#This Row],[Ventas]])</f>
        <v>2.5652441151685145E-2</v>
      </c>
      <c r="P1604" s="837">
        <f>IF(Indicadores[[#This Row],[Ventas]]=0,0,Indicadores[[#This Row],[UAI]]/Indicadores[[#This Row],[Ventas]])</f>
        <v>5.1814452750745497E-3</v>
      </c>
      <c r="Q1604" s="837">
        <f>IFERROR(Indicadores[[#This Row],[Ventas]]/Indicadores[[#This Row],[Activos totales]],0)</f>
        <v>0.89507278974748206</v>
      </c>
    </row>
    <row r="1605" spans="1:17" hidden="1" x14ac:dyDescent="0.3">
      <c r="A1605" s="13" t="str">
        <f>MID(Indicadores[[#This Row],[CIIU]],2,4)</f>
        <v>6611</v>
      </c>
      <c r="B1605" s="13" t="str">
        <f>Indicadores[[#This Row],[CIIU]]&amp;Indicadores[[#This Row],[Año]]</f>
        <v>K66112019</v>
      </c>
      <c r="C1605" s="845" t="s">
        <v>3166</v>
      </c>
      <c r="D1605" s="845" t="s">
        <v>3218</v>
      </c>
      <c r="E1605" s="843">
        <v>2019</v>
      </c>
      <c r="F1605" s="844" t="s">
        <v>3219</v>
      </c>
      <c r="G1605" s="842" t="s">
        <v>3220</v>
      </c>
      <c r="H1605" s="843" t="s">
        <v>3221</v>
      </c>
      <c r="I1605" s="842" t="s">
        <v>3220</v>
      </c>
      <c r="J1605" s="840">
        <v>14364483</v>
      </c>
      <c r="K1605" s="840">
        <v>14487963</v>
      </c>
      <c r="L1605" s="841">
        <v>153490231</v>
      </c>
      <c r="M1605" s="840">
        <v>22963851</v>
      </c>
      <c r="N1605" s="839">
        <f>Indicadores[[#This Row],[Ventas]]/Indicadores[[#This Row],[Activos totales]]</f>
        <v>0.14961115668657765</v>
      </c>
      <c r="O1605" s="837">
        <f>IF(Indicadores[[#This Row],[Ventas]]=0,0,Indicadores[[#This Row],[EBITDA]]/Indicadores[[#This Row],[Ventas]])</f>
        <v>0.63090302231973205</v>
      </c>
      <c r="P1605" s="837">
        <f>IF(Indicadores[[#This Row],[Ventas]]=0,0,Indicadores[[#This Row],[UAI]]/Indicadores[[#This Row],[Ventas]])</f>
        <v>0.62552587542916904</v>
      </c>
      <c r="Q1605" s="837">
        <f>IFERROR(Indicadores[[#This Row],[Ventas]]/Indicadores[[#This Row],[Activos totales]],0)</f>
        <v>0.14961115668657765</v>
      </c>
    </row>
    <row r="1606" spans="1:17" hidden="1" x14ac:dyDescent="0.3">
      <c r="A1606" s="13" t="str">
        <f>MID(Indicadores[[#This Row],[CIIU]],2,4)</f>
        <v>6612</v>
      </c>
      <c r="B1606" s="13" t="str">
        <f>Indicadores[[#This Row],[CIIU]]&amp;Indicadores[[#This Row],[Año]]</f>
        <v>K66122019</v>
      </c>
      <c r="C1606" s="845" t="s">
        <v>3166</v>
      </c>
      <c r="D1606" s="845" t="s">
        <v>3218</v>
      </c>
      <c r="E1606" s="843">
        <v>2019</v>
      </c>
      <c r="F1606" s="844" t="s">
        <v>3222</v>
      </c>
      <c r="G1606" s="842" t="s">
        <v>3223</v>
      </c>
      <c r="H1606" s="843" t="s">
        <v>3224</v>
      </c>
      <c r="I1606" s="842" t="s">
        <v>3223</v>
      </c>
      <c r="J1606" s="840">
        <v>3332608</v>
      </c>
      <c r="K1606" s="840">
        <v>3334090</v>
      </c>
      <c r="L1606" s="841">
        <v>36086498</v>
      </c>
      <c r="M1606" s="840">
        <v>3858747</v>
      </c>
      <c r="N1606" s="839">
        <f>Indicadores[[#This Row],[Ventas]]/Indicadores[[#This Row],[Activos totales]]</f>
        <v>0.10693049239635279</v>
      </c>
      <c r="O1606" s="837">
        <f>IF(Indicadores[[#This Row],[Ventas]]=0,0,Indicadores[[#This Row],[EBITDA]]/Indicadores[[#This Row],[Ventas]])</f>
        <v>0.8640343614131738</v>
      </c>
      <c r="P1606" s="837">
        <f>IF(Indicadores[[#This Row],[Ventas]]=0,0,Indicadores[[#This Row],[UAI]]/Indicadores[[#This Row],[Ventas]])</f>
        <v>0.86365029891827583</v>
      </c>
      <c r="Q1606" s="837">
        <f>IFERROR(Indicadores[[#This Row],[Ventas]]/Indicadores[[#This Row],[Activos totales]],0)</f>
        <v>0.10693049239635279</v>
      </c>
    </row>
    <row r="1607" spans="1:17" hidden="1" x14ac:dyDescent="0.3">
      <c r="A1607" s="13" t="str">
        <f>MID(Indicadores[[#This Row],[CIIU]],2,4)</f>
        <v>6613</v>
      </c>
      <c r="B1607" s="13" t="str">
        <f>Indicadores[[#This Row],[CIIU]]&amp;Indicadores[[#This Row],[Año]]</f>
        <v>K66132019</v>
      </c>
      <c r="C1607" s="845" t="s">
        <v>3166</v>
      </c>
      <c r="D1607" s="845" t="s">
        <v>3218</v>
      </c>
      <c r="E1607" s="843">
        <v>2019</v>
      </c>
      <c r="F1607" s="844" t="s">
        <v>3225</v>
      </c>
      <c r="G1607" s="842" t="s">
        <v>3226</v>
      </c>
      <c r="H1607" s="843" t="s">
        <v>3227</v>
      </c>
      <c r="I1607" s="842" t="s">
        <v>3226</v>
      </c>
      <c r="J1607" s="840">
        <v>4666929276</v>
      </c>
      <c r="K1607" s="840">
        <v>4692468072</v>
      </c>
      <c r="L1607" s="841">
        <v>63856026896</v>
      </c>
      <c r="M1607" s="840">
        <v>3012603142</v>
      </c>
      <c r="N1607" s="839">
        <f>Indicadores[[#This Row],[Ventas]]/Indicadores[[#This Row],[Activos totales]]</f>
        <v>4.7178054890676453E-2</v>
      </c>
      <c r="O1607" s="837">
        <f>IF(Indicadores[[#This Row],[Ventas]]=0,0,Indicadores[[#This Row],[EBITDA]]/Indicadores[[#This Row],[Ventas]])</f>
        <v>1.5576124204945145</v>
      </c>
      <c r="P1607" s="837">
        <f>IF(Indicadores[[#This Row],[Ventas]]=0,0,Indicadores[[#This Row],[UAI]]/Indicadores[[#This Row],[Ventas]])</f>
        <v>1.5491351021103064</v>
      </c>
      <c r="Q1607" s="837">
        <f>IFERROR(Indicadores[[#This Row],[Ventas]]/Indicadores[[#This Row],[Activos totales]],0)</f>
        <v>4.7178054890676453E-2</v>
      </c>
    </row>
    <row r="1608" spans="1:17" hidden="1" x14ac:dyDescent="0.3">
      <c r="A1608" s="13" t="str">
        <f>MID(Indicadores[[#This Row],[CIIU]],2,4)</f>
        <v>6614</v>
      </c>
      <c r="B1608" s="13" t="str">
        <f>Indicadores[[#This Row],[CIIU]]&amp;Indicadores[[#This Row],[Año]]</f>
        <v>K66142019</v>
      </c>
      <c r="C1608" s="845" t="s">
        <v>3166</v>
      </c>
      <c r="D1608" s="845" t="s">
        <v>3218</v>
      </c>
      <c r="E1608" s="843">
        <v>2019</v>
      </c>
      <c r="F1608" s="844" t="s">
        <v>3228</v>
      </c>
      <c r="G1608" s="842" t="s">
        <v>3229</v>
      </c>
      <c r="H1608" s="843" t="s">
        <v>3230</v>
      </c>
      <c r="I1608" s="842" t="s">
        <v>3229</v>
      </c>
      <c r="J1608" s="840">
        <v>124256</v>
      </c>
      <c r="K1608" s="840">
        <v>156468</v>
      </c>
      <c r="L1608" s="841">
        <v>16940739</v>
      </c>
      <c r="M1608" s="840">
        <v>261776</v>
      </c>
      <c r="N1608" s="839">
        <f>Indicadores[[#This Row],[Ventas]]/Indicadores[[#This Row],[Activos totales]]</f>
        <v>1.5452454583002548E-2</v>
      </c>
      <c r="O1608" s="837">
        <f>IF(Indicadores[[#This Row],[Ventas]]=0,0,Indicadores[[#This Row],[EBITDA]]/Indicadores[[#This Row],[Ventas]])</f>
        <v>0.59771713220463296</v>
      </c>
      <c r="P1608" s="837">
        <f>IF(Indicadores[[#This Row],[Ventas]]=0,0,Indicadores[[#This Row],[UAI]]/Indicadores[[#This Row],[Ventas]])</f>
        <v>0.47466536275288795</v>
      </c>
      <c r="Q1608" s="837">
        <f>IFERROR(Indicadores[[#This Row],[Ventas]]/Indicadores[[#This Row],[Activos totales]],0)</f>
        <v>1.5452454583002548E-2</v>
      </c>
    </row>
    <row r="1609" spans="1:17" hidden="1" x14ac:dyDescent="0.3">
      <c r="A1609" s="13" t="str">
        <f>MID(Indicadores[[#This Row],[CIIU]],2,4)</f>
        <v>6615</v>
      </c>
      <c r="B1609" s="13" t="str">
        <f>Indicadores[[#This Row],[CIIU]]&amp;Indicadores[[#This Row],[Año]]</f>
        <v>K66152019</v>
      </c>
      <c r="C1609" s="845" t="s">
        <v>3166</v>
      </c>
      <c r="D1609" s="845" t="s">
        <v>3218</v>
      </c>
      <c r="E1609" s="843">
        <v>2019</v>
      </c>
      <c r="F1609" s="844" t="s">
        <v>3231</v>
      </c>
      <c r="G1609" s="842" t="s">
        <v>3232</v>
      </c>
      <c r="H1609" s="843" t="s">
        <v>3233</v>
      </c>
      <c r="I1609" s="842" t="s">
        <v>3232</v>
      </c>
      <c r="J1609" s="840">
        <v>88199450</v>
      </c>
      <c r="K1609" s="840">
        <v>88818003</v>
      </c>
      <c r="L1609" s="841">
        <v>456379604</v>
      </c>
      <c r="M1609" s="840">
        <v>128383850</v>
      </c>
      <c r="N1609" s="839">
        <f>Indicadores[[#This Row],[Ventas]]/Indicadores[[#This Row],[Activos totales]]</f>
        <v>0.2813093505379351</v>
      </c>
      <c r="O1609" s="837">
        <f>IF(Indicadores[[#This Row],[Ventas]]=0,0,Indicadores[[#This Row],[EBITDA]]/Indicadores[[#This Row],[Ventas]])</f>
        <v>0.69181601112600999</v>
      </c>
      <c r="P1609" s="837">
        <f>IF(Indicadores[[#This Row],[Ventas]]=0,0,Indicadores[[#This Row],[UAI]]/Indicadores[[#This Row],[Ventas]])</f>
        <v>0.68699801415832285</v>
      </c>
      <c r="Q1609" s="837">
        <f>IFERROR(Indicadores[[#This Row],[Ventas]]/Indicadores[[#This Row],[Activos totales]],0)</f>
        <v>0.2813093505379351</v>
      </c>
    </row>
    <row r="1610" spans="1:17" hidden="1" x14ac:dyDescent="0.3">
      <c r="A1610" s="13" t="str">
        <f>MID(Indicadores[[#This Row],[CIIU]],2,4)</f>
        <v>6619</v>
      </c>
      <c r="B1610" s="13" t="str">
        <f>Indicadores[[#This Row],[CIIU]]&amp;Indicadores[[#This Row],[Año]]</f>
        <v>K66192019</v>
      </c>
      <c r="C1610" s="845" t="s">
        <v>3166</v>
      </c>
      <c r="D1610" s="845" t="s">
        <v>3218</v>
      </c>
      <c r="E1610" s="843">
        <v>2019</v>
      </c>
      <c r="F1610" s="844" t="s">
        <v>3234</v>
      </c>
      <c r="G1610" s="842" t="s">
        <v>3235</v>
      </c>
      <c r="H1610" s="843" t="s">
        <v>3236</v>
      </c>
      <c r="I1610" s="842" t="s">
        <v>3235</v>
      </c>
      <c r="J1610" s="840">
        <v>488486566</v>
      </c>
      <c r="K1610" s="840">
        <v>499759721</v>
      </c>
      <c r="L1610" s="841">
        <v>8502924116</v>
      </c>
      <c r="M1610" s="840">
        <v>1358603526</v>
      </c>
      <c r="N1610" s="839">
        <f>Indicadores[[#This Row],[Ventas]]/Indicadores[[#This Row],[Activos totales]]</f>
        <v>0.15978074218532753</v>
      </c>
      <c r="O1610" s="837">
        <f>IF(Indicadores[[#This Row],[Ventas]]=0,0,Indicadores[[#This Row],[EBITDA]]/Indicadores[[#This Row],[Ventas]])</f>
        <v>0.36784809654615896</v>
      </c>
      <c r="P1610" s="837">
        <f>IF(Indicadores[[#This Row],[Ventas]]=0,0,Indicadores[[#This Row],[UAI]]/Indicadores[[#This Row],[Ventas]])</f>
        <v>0.35955049184820093</v>
      </c>
      <c r="Q1610" s="837">
        <f>IFERROR(Indicadores[[#This Row],[Ventas]]/Indicadores[[#This Row],[Activos totales]],0)</f>
        <v>0.15978074218532753</v>
      </c>
    </row>
    <row r="1611" spans="1:17" hidden="1" x14ac:dyDescent="0.3">
      <c r="A1611" s="13" t="str">
        <f>MID(Indicadores[[#This Row],[CIIU]],2,4)</f>
        <v>6621</v>
      </c>
      <c r="B1611" s="13" t="str">
        <f>Indicadores[[#This Row],[CIIU]]&amp;Indicadores[[#This Row],[Año]]</f>
        <v>K66212019</v>
      </c>
      <c r="C1611" s="845" t="s">
        <v>3166</v>
      </c>
      <c r="D1611" s="845" t="s">
        <v>3218</v>
      </c>
      <c r="E1611" s="843">
        <v>2019</v>
      </c>
      <c r="F1611" s="844" t="s">
        <v>3237</v>
      </c>
      <c r="G1611" s="842" t="s">
        <v>3238</v>
      </c>
      <c r="H1611" s="843" t="s">
        <v>3239</v>
      </c>
      <c r="I1611" s="842" t="s">
        <v>3238</v>
      </c>
      <c r="J1611" s="840">
        <v>19588265</v>
      </c>
      <c r="K1611" s="840">
        <v>20510809</v>
      </c>
      <c r="L1611" s="841">
        <v>120526679</v>
      </c>
      <c r="M1611" s="840">
        <v>60873363</v>
      </c>
      <c r="N1611" s="839">
        <f>Indicadores[[#This Row],[Ventas]]/Indicadores[[#This Row],[Activos totales]]</f>
        <v>0.50506131509688412</v>
      </c>
      <c r="O1611" s="837">
        <f>IF(Indicadores[[#This Row],[Ventas]]=0,0,Indicadores[[#This Row],[EBITDA]]/Indicadores[[#This Row],[Ventas]])</f>
        <v>0.33694226816415579</v>
      </c>
      <c r="P1611" s="837">
        <f>IF(Indicadores[[#This Row],[Ventas]]=0,0,Indicadores[[#This Row],[UAI]]/Indicadores[[#This Row],[Ventas]])</f>
        <v>0.32178713372546874</v>
      </c>
      <c r="Q1611" s="837">
        <f>IFERROR(Indicadores[[#This Row],[Ventas]]/Indicadores[[#This Row],[Activos totales]],0)</f>
        <v>0.50506131509688412</v>
      </c>
    </row>
    <row r="1612" spans="1:17" hidden="1" x14ac:dyDescent="0.3">
      <c r="A1612" s="13" t="str">
        <f>MID(Indicadores[[#This Row],[CIIU]],2,4)</f>
        <v>6629</v>
      </c>
      <c r="B1612" s="13" t="str">
        <f>Indicadores[[#This Row],[CIIU]]&amp;Indicadores[[#This Row],[Año]]</f>
        <v>K66292019</v>
      </c>
      <c r="C1612" s="845" t="s">
        <v>3166</v>
      </c>
      <c r="D1612" s="845" t="s">
        <v>3218</v>
      </c>
      <c r="E1612" s="843">
        <v>2019</v>
      </c>
      <c r="F1612" s="844" t="s">
        <v>3240</v>
      </c>
      <c r="G1612" s="842" t="s">
        <v>3241</v>
      </c>
      <c r="H1612" s="843" t="s">
        <v>3242</v>
      </c>
      <c r="I1612" s="842" t="s">
        <v>3241</v>
      </c>
      <c r="J1612" s="840">
        <v>2660494</v>
      </c>
      <c r="K1612" s="840">
        <v>2660494</v>
      </c>
      <c r="L1612" s="841">
        <v>18031803</v>
      </c>
      <c r="M1612" s="840">
        <v>2576324</v>
      </c>
      <c r="N1612" s="839">
        <f>Indicadores[[#This Row],[Ventas]]/Indicadores[[#This Row],[Activos totales]]</f>
        <v>0.14287667184474009</v>
      </c>
      <c r="O1612" s="837">
        <f>IF(Indicadores[[#This Row],[Ventas]]=0,0,Indicadores[[#This Row],[EBITDA]]/Indicadores[[#This Row],[Ventas]])</f>
        <v>1.0326705802531049</v>
      </c>
      <c r="P1612" s="837">
        <f>IF(Indicadores[[#This Row],[Ventas]]=0,0,Indicadores[[#This Row],[UAI]]/Indicadores[[#This Row],[Ventas]])</f>
        <v>1.0326705802531049</v>
      </c>
      <c r="Q1612" s="837">
        <f>IFERROR(Indicadores[[#This Row],[Ventas]]/Indicadores[[#This Row],[Activos totales]],0)</f>
        <v>0.14287667184474009</v>
      </c>
    </row>
    <row r="1613" spans="1:17" hidden="1" x14ac:dyDescent="0.3">
      <c r="A1613" s="13" t="str">
        <f>MID(Indicadores[[#This Row],[CIIU]],2,4)</f>
        <v>6630</v>
      </c>
      <c r="B1613" s="13" t="str">
        <f>Indicadores[[#This Row],[CIIU]]&amp;Indicadores[[#This Row],[Año]]</f>
        <v>K66302019</v>
      </c>
      <c r="C1613" s="845" t="s">
        <v>3166</v>
      </c>
      <c r="D1613" s="845" t="s">
        <v>3218</v>
      </c>
      <c r="E1613" s="843">
        <v>2019</v>
      </c>
      <c r="F1613" s="844" t="s">
        <v>3243</v>
      </c>
      <c r="G1613" s="842" t="s">
        <v>3244</v>
      </c>
      <c r="H1613" s="843" t="s">
        <v>3245</v>
      </c>
      <c r="I1613" s="842" t="s">
        <v>3244</v>
      </c>
      <c r="J1613" s="840">
        <v>92101118</v>
      </c>
      <c r="K1613" s="840">
        <v>93272803</v>
      </c>
      <c r="L1613" s="841">
        <v>720374451</v>
      </c>
      <c r="M1613" s="840">
        <v>85967654</v>
      </c>
      <c r="N1613" s="839">
        <f>Indicadores[[#This Row],[Ventas]]/Indicadores[[#This Row],[Activos totales]]</f>
        <v>0.11933745551450714</v>
      </c>
      <c r="O1613" s="837">
        <f>IF(Indicadores[[#This Row],[Ventas]]=0,0,Indicadores[[#This Row],[EBITDA]]/Indicadores[[#This Row],[Ventas]])</f>
        <v>1.08497555371233</v>
      </c>
      <c r="P1613" s="837">
        <f>IF(Indicadores[[#This Row],[Ventas]]=0,0,Indicadores[[#This Row],[UAI]]/Indicadores[[#This Row],[Ventas]])</f>
        <v>1.0713461832981972</v>
      </c>
      <c r="Q1613" s="837">
        <f>IFERROR(Indicadores[[#This Row],[Ventas]]/Indicadores[[#This Row],[Activos totales]],0)</f>
        <v>0.11933745551450714</v>
      </c>
    </row>
    <row r="1614" spans="1:17" hidden="1" x14ac:dyDescent="0.3">
      <c r="A1614" s="13" t="str">
        <f>MID(Indicadores[[#This Row],[CIIU]],2,4)</f>
        <v>6810</v>
      </c>
      <c r="B1614" s="13" t="str">
        <f>Indicadores[[#This Row],[CIIU]]&amp;Indicadores[[#This Row],[Año]]</f>
        <v>L68102019</v>
      </c>
      <c r="C1614" s="845" t="s">
        <v>3246</v>
      </c>
      <c r="D1614" s="845" t="s">
        <v>3247</v>
      </c>
      <c r="E1614" s="843">
        <v>2019</v>
      </c>
      <c r="F1614" s="844" t="s">
        <v>3248</v>
      </c>
      <c r="G1614" s="842" t="s">
        <v>3249</v>
      </c>
      <c r="H1614" s="843" t="s">
        <v>3250</v>
      </c>
      <c r="I1614" s="842" t="s">
        <v>3249</v>
      </c>
      <c r="J1614" s="840">
        <v>3116667235</v>
      </c>
      <c r="K1614" s="840">
        <v>3619320626</v>
      </c>
      <c r="L1614" s="841">
        <v>86844775117</v>
      </c>
      <c r="M1614" s="840">
        <v>7558596139</v>
      </c>
      <c r="N1614" s="839">
        <f>Indicadores[[#This Row],[Ventas]]/Indicadores[[#This Row],[Activos totales]]</f>
        <v>8.7035703976627521E-2</v>
      </c>
      <c r="O1614" s="837">
        <f>IF(Indicadores[[#This Row],[Ventas]]=0,0,Indicadores[[#This Row],[EBITDA]]/Indicadores[[#This Row],[Ventas]])</f>
        <v>0.4788350322522768</v>
      </c>
      <c r="P1614" s="837">
        <f>IF(Indicadores[[#This Row],[Ventas]]=0,0,Indicadores[[#This Row],[UAI]]/Indicadores[[#This Row],[Ventas]])</f>
        <v>0.41233413952611764</v>
      </c>
      <c r="Q1614" s="837">
        <f>IFERROR(Indicadores[[#This Row],[Ventas]]/Indicadores[[#This Row],[Activos totales]],0)</f>
        <v>8.7035703976627521E-2</v>
      </c>
    </row>
    <row r="1615" spans="1:17" hidden="1" x14ac:dyDescent="0.3">
      <c r="A1615" s="13" t="str">
        <f>MID(Indicadores[[#This Row],[CIIU]],2,4)</f>
        <v>6820</v>
      </c>
      <c r="B1615" s="13" t="str">
        <f>Indicadores[[#This Row],[CIIU]]&amp;Indicadores[[#This Row],[Año]]</f>
        <v>L68202019</v>
      </c>
      <c r="C1615" s="845" t="s">
        <v>3246</v>
      </c>
      <c r="D1615" s="845" t="s">
        <v>3247</v>
      </c>
      <c r="E1615" s="843">
        <v>2019</v>
      </c>
      <c r="F1615" s="844" t="s">
        <v>3251</v>
      </c>
      <c r="G1615" s="842" t="s">
        <v>3252</v>
      </c>
      <c r="H1615" s="843" t="s">
        <v>3253</v>
      </c>
      <c r="I1615" s="842" t="s">
        <v>3254</v>
      </c>
      <c r="J1615" s="840">
        <v>225454552</v>
      </c>
      <c r="K1615" s="840">
        <v>265106043</v>
      </c>
      <c r="L1615" s="841">
        <v>7858649242</v>
      </c>
      <c r="M1615" s="840">
        <v>985961145</v>
      </c>
      <c r="N1615" s="839">
        <f>Indicadores[[#This Row],[Ventas]]/Indicadores[[#This Row],[Activos totales]]</f>
        <v>0.12546191013725358</v>
      </c>
      <c r="O1615" s="837">
        <f>IF(Indicadores[[#This Row],[Ventas]]=0,0,Indicadores[[#This Row],[EBITDA]]/Indicadores[[#This Row],[Ventas]])</f>
        <v>0.26888082187052109</v>
      </c>
      <c r="P1615" s="837">
        <f>IF(Indicadores[[#This Row],[Ventas]]=0,0,Indicadores[[#This Row],[UAI]]/Indicadores[[#This Row],[Ventas]])</f>
        <v>0.22866474317301824</v>
      </c>
      <c r="Q1615" s="837">
        <f>IFERROR(Indicadores[[#This Row],[Ventas]]/Indicadores[[#This Row],[Activos totales]],0)</f>
        <v>0.12546191013725358</v>
      </c>
    </row>
    <row r="1616" spans="1:17" hidden="1" x14ac:dyDescent="0.3">
      <c r="A1616" s="13" t="str">
        <f>MID(Indicadores[[#This Row],[CIIU]],2,4)</f>
        <v>6910</v>
      </c>
      <c r="B1616" s="13" t="str">
        <f>Indicadores[[#This Row],[CIIU]]&amp;Indicadores[[#This Row],[Año]]</f>
        <v>M69102019</v>
      </c>
      <c r="C1616" s="845" t="s">
        <v>3255</v>
      </c>
      <c r="D1616" s="845" t="s">
        <v>3256</v>
      </c>
      <c r="E1616" s="843">
        <v>2019</v>
      </c>
      <c r="F1616" s="844" t="s">
        <v>3257</v>
      </c>
      <c r="G1616" s="842" t="s">
        <v>3258</v>
      </c>
      <c r="H1616" s="843" t="s">
        <v>3259</v>
      </c>
      <c r="I1616" s="842" t="s">
        <v>3258</v>
      </c>
      <c r="J1616" s="840">
        <v>294527867</v>
      </c>
      <c r="K1616" s="840">
        <v>315049683</v>
      </c>
      <c r="L1616" s="841">
        <v>1402811047</v>
      </c>
      <c r="M1616" s="840">
        <v>1327121704</v>
      </c>
      <c r="N1616" s="839">
        <f>Indicadores[[#This Row],[Ventas]]/Indicadores[[#This Row],[Activos totales]]</f>
        <v>0.94604452027814689</v>
      </c>
      <c r="O1616" s="837">
        <f>IF(Indicadores[[#This Row],[Ventas]]=0,0,Indicadores[[#This Row],[EBITDA]]/Indicadores[[#This Row],[Ventas]])</f>
        <v>0.23739321122578821</v>
      </c>
      <c r="P1616" s="837">
        <f>IF(Indicadores[[#This Row],[Ventas]]=0,0,Indicadores[[#This Row],[UAI]]/Indicadores[[#This Row],[Ventas]])</f>
        <v>0.22192980953614183</v>
      </c>
      <c r="Q1616" s="837">
        <f>IFERROR(Indicadores[[#This Row],[Ventas]]/Indicadores[[#This Row],[Activos totales]],0)</f>
        <v>0.94604452027814689</v>
      </c>
    </row>
    <row r="1617" spans="1:17" hidden="1" x14ac:dyDescent="0.3">
      <c r="A1617" s="13" t="str">
        <f>MID(Indicadores[[#This Row],[CIIU]],2,4)</f>
        <v>6920</v>
      </c>
      <c r="B1617" s="13" t="str">
        <f>Indicadores[[#This Row],[CIIU]]&amp;Indicadores[[#This Row],[Año]]</f>
        <v>M69202019</v>
      </c>
      <c r="C1617" s="845" t="s">
        <v>3255</v>
      </c>
      <c r="D1617" s="845" t="s">
        <v>3256</v>
      </c>
      <c r="E1617" s="843">
        <v>2019</v>
      </c>
      <c r="F1617" s="844" t="s">
        <v>3260</v>
      </c>
      <c r="G1617" s="842" t="s">
        <v>3261</v>
      </c>
      <c r="H1617" s="843" t="s">
        <v>3262</v>
      </c>
      <c r="I1617" s="842" t="s">
        <v>3261</v>
      </c>
      <c r="J1617" s="840">
        <v>83150185</v>
      </c>
      <c r="K1617" s="840">
        <v>97119894</v>
      </c>
      <c r="L1617" s="841">
        <v>664577793</v>
      </c>
      <c r="M1617" s="840">
        <v>890169297</v>
      </c>
      <c r="N1617" s="839">
        <f>Indicadores[[#This Row],[Ventas]]/Indicadores[[#This Row],[Activos totales]]</f>
        <v>1.3394508609468387</v>
      </c>
      <c r="O1617" s="837">
        <f>IF(Indicadores[[#This Row],[Ventas]]=0,0,Indicadores[[#This Row],[EBITDA]]/Indicadores[[#This Row],[Ventas]])</f>
        <v>0.10910272273747046</v>
      </c>
      <c r="P1617" s="837">
        <f>IF(Indicadores[[#This Row],[Ventas]]=0,0,Indicadores[[#This Row],[UAI]]/Indicadores[[#This Row],[Ventas]])</f>
        <v>9.3409405694206957E-2</v>
      </c>
      <c r="Q1617" s="837">
        <f>IFERROR(Indicadores[[#This Row],[Ventas]]/Indicadores[[#This Row],[Activos totales]],0)</f>
        <v>1.3394508609468387</v>
      </c>
    </row>
    <row r="1618" spans="1:17" hidden="1" x14ac:dyDescent="0.3">
      <c r="A1618" s="13" t="str">
        <f>MID(Indicadores[[#This Row],[CIIU]],2,4)</f>
        <v>7010</v>
      </c>
      <c r="B1618" s="13" t="str">
        <f>Indicadores[[#This Row],[CIIU]]&amp;Indicadores[[#This Row],[Año]]</f>
        <v>M70102019</v>
      </c>
      <c r="C1618" s="845" t="s">
        <v>3255</v>
      </c>
      <c r="D1618" s="845" t="s">
        <v>3263</v>
      </c>
      <c r="E1618" s="843">
        <v>2019</v>
      </c>
      <c r="F1618" s="844" t="s">
        <v>3264</v>
      </c>
      <c r="G1618" s="842" t="s">
        <v>3265</v>
      </c>
      <c r="H1618" s="843" t="s">
        <v>3266</v>
      </c>
      <c r="I1618" s="842" t="s">
        <v>3265</v>
      </c>
      <c r="J1618" s="840">
        <v>1312678612</v>
      </c>
      <c r="K1618" s="840">
        <v>1374125375</v>
      </c>
      <c r="L1618" s="841">
        <v>21530000546</v>
      </c>
      <c r="M1618" s="840">
        <v>1718419157</v>
      </c>
      <c r="N1618" s="839">
        <f>Indicadores[[#This Row],[Ventas]]/Indicadores[[#This Row],[Activos totales]]</f>
        <v>7.9815100484020213E-2</v>
      </c>
      <c r="O1618" s="837">
        <f>IF(Indicadores[[#This Row],[Ventas]]=0,0,Indicadores[[#This Row],[EBITDA]]/Indicadores[[#This Row],[Ventas]])</f>
        <v>0.79964505132667119</v>
      </c>
      <c r="P1618" s="837">
        <f>IF(Indicadores[[#This Row],[Ventas]]=0,0,Indicadores[[#This Row],[UAI]]/Indicadores[[#This Row],[Ventas]])</f>
        <v>0.7638873243776344</v>
      </c>
      <c r="Q1618" s="837">
        <f>IFERROR(Indicadores[[#This Row],[Ventas]]/Indicadores[[#This Row],[Activos totales]],0)</f>
        <v>7.9815100484020213E-2</v>
      </c>
    </row>
    <row r="1619" spans="1:17" hidden="1" x14ac:dyDescent="0.3">
      <c r="A1619" s="13" t="str">
        <f>MID(Indicadores[[#This Row],[CIIU]],2,4)</f>
        <v>7020</v>
      </c>
      <c r="B1619" s="13" t="str">
        <f>Indicadores[[#This Row],[CIIU]]&amp;Indicadores[[#This Row],[Año]]</f>
        <v>M70202019</v>
      </c>
      <c r="C1619" s="845" t="s">
        <v>3255</v>
      </c>
      <c r="D1619" s="845" t="s">
        <v>3263</v>
      </c>
      <c r="E1619" s="843">
        <v>2019</v>
      </c>
      <c r="F1619" s="844" t="s">
        <v>3267</v>
      </c>
      <c r="G1619" s="842" t="s">
        <v>3268</v>
      </c>
      <c r="H1619" s="843" t="s">
        <v>3269</v>
      </c>
      <c r="I1619" s="842" t="s">
        <v>3268</v>
      </c>
      <c r="J1619" s="840">
        <v>568985771</v>
      </c>
      <c r="K1619" s="840">
        <v>660537909</v>
      </c>
      <c r="L1619" s="841">
        <v>6389141954</v>
      </c>
      <c r="M1619" s="840">
        <v>3432395441</v>
      </c>
      <c r="N1619" s="839">
        <f>Indicadores[[#This Row],[Ventas]]/Indicadores[[#This Row],[Activos totales]]</f>
        <v>0.53722322429400826</v>
      </c>
      <c r="O1619" s="837">
        <f>IF(Indicadores[[#This Row],[Ventas]]=0,0,Indicadores[[#This Row],[EBITDA]]/Indicadores[[#This Row],[Ventas]])</f>
        <v>0.19244225216881122</v>
      </c>
      <c r="P1619" s="837">
        <f>IF(Indicadores[[#This Row],[Ventas]]=0,0,Indicadores[[#This Row],[UAI]]/Indicadores[[#This Row],[Ventas]])</f>
        <v>0.16576929458752301</v>
      </c>
      <c r="Q1619" s="837">
        <f>IFERROR(Indicadores[[#This Row],[Ventas]]/Indicadores[[#This Row],[Activos totales]],0)</f>
        <v>0.53722322429400826</v>
      </c>
    </row>
    <row r="1620" spans="1:17" hidden="1" x14ac:dyDescent="0.3">
      <c r="A1620" s="13" t="str">
        <f>MID(Indicadores[[#This Row],[CIIU]],2,4)</f>
        <v>7110</v>
      </c>
      <c r="B1620" s="13" t="str">
        <f>Indicadores[[#This Row],[CIIU]]&amp;Indicadores[[#This Row],[Año]]</f>
        <v>M71102019</v>
      </c>
      <c r="C1620" s="845" t="s">
        <v>3255</v>
      </c>
      <c r="D1620" s="845" t="s">
        <v>3270</v>
      </c>
      <c r="E1620" s="843">
        <v>2019</v>
      </c>
      <c r="F1620" s="844" t="s">
        <v>3271</v>
      </c>
      <c r="G1620" s="842" t="s">
        <v>3272</v>
      </c>
      <c r="H1620" s="843" t="s">
        <v>3273</v>
      </c>
      <c r="I1620" s="842" t="s">
        <v>3272</v>
      </c>
      <c r="J1620" s="840">
        <v>606869113</v>
      </c>
      <c r="K1620" s="840">
        <v>738853209</v>
      </c>
      <c r="L1620" s="841">
        <v>10947964408</v>
      </c>
      <c r="M1620" s="840">
        <v>7119675531</v>
      </c>
      <c r="N1620" s="839">
        <f>Indicadores[[#This Row],[Ventas]]/Indicadores[[#This Row],[Activos totales]]</f>
        <v>0.65031957226655246</v>
      </c>
      <c r="O1620" s="837">
        <f>IF(Indicadores[[#This Row],[Ventas]]=0,0,Indicadores[[#This Row],[EBITDA]]/Indicadores[[#This Row],[Ventas]])</f>
        <v>0.10377624735606789</v>
      </c>
      <c r="P1620" s="837">
        <f>IF(Indicadores[[#This Row],[Ventas]]=0,0,Indicadores[[#This Row],[UAI]]/Indicadores[[#This Row],[Ventas]])</f>
        <v>8.5238310419851637E-2</v>
      </c>
      <c r="Q1620" s="837">
        <f>IFERROR(Indicadores[[#This Row],[Ventas]]/Indicadores[[#This Row],[Activos totales]],0)</f>
        <v>0.65031957226655246</v>
      </c>
    </row>
    <row r="1621" spans="1:17" hidden="1" x14ac:dyDescent="0.3">
      <c r="A1621" s="13" t="str">
        <f>MID(Indicadores[[#This Row],[CIIU]],2,4)</f>
        <v>7120</v>
      </c>
      <c r="B1621" s="13" t="str">
        <f>Indicadores[[#This Row],[CIIU]]&amp;Indicadores[[#This Row],[Año]]</f>
        <v>M71202019</v>
      </c>
      <c r="C1621" s="845" t="s">
        <v>3255</v>
      </c>
      <c r="D1621" s="845" t="s">
        <v>3270</v>
      </c>
      <c r="E1621" s="843">
        <v>2019</v>
      </c>
      <c r="F1621" s="844" t="s">
        <v>3274</v>
      </c>
      <c r="G1621" s="842" t="s">
        <v>3275</v>
      </c>
      <c r="H1621" s="843" t="s">
        <v>3276</v>
      </c>
      <c r="I1621" s="842" t="s">
        <v>3275</v>
      </c>
      <c r="J1621" s="840">
        <v>27660816</v>
      </c>
      <c r="K1621" s="840">
        <v>34443446</v>
      </c>
      <c r="L1621" s="841">
        <v>284314689</v>
      </c>
      <c r="M1621" s="840">
        <v>229477896</v>
      </c>
      <c r="N1621" s="839">
        <f>Indicadores[[#This Row],[Ventas]]/Indicadores[[#This Row],[Activos totales]]</f>
        <v>0.80712641618034731</v>
      </c>
      <c r="O1621" s="837">
        <f>IF(Indicadores[[#This Row],[Ventas]]=0,0,Indicadores[[#This Row],[EBITDA]]/Indicadores[[#This Row],[Ventas]])</f>
        <v>0.15009483092001158</v>
      </c>
      <c r="P1621" s="837">
        <f>IF(Indicadores[[#This Row],[Ventas]]=0,0,Indicadores[[#This Row],[UAI]]/Indicadores[[#This Row],[Ventas]])</f>
        <v>0.12053804084032564</v>
      </c>
      <c r="Q1621" s="837">
        <f>IFERROR(Indicadores[[#This Row],[Ventas]]/Indicadores[[#This Row],[Activos totales]],0)</f>
        <v>0.80712641618034731</v>
      </c>
    </row>
    <row r="1622" spans="1:17" hidden="1" x14ac:dyDescent="0.3">
      <c r="A1622" s="13" t="str">
        <f>MID(Indicadores[[#This Row],[CIIU]],2,4)</f>
        <v>7210</v>
      </c>
      <c r="B1622" s="13" t="str">
        <f>Indicadores[[#This Row],[CIIU]]&amp;Indicadores[[#This Row],[Año]]</f>
        <v>M72102019</v>
      </c>
      <c r="C1622" s="845" t="s">
        <v>3255</v>
      </c>
      <c r="D1622" s="845" t="s">
        <v>3277</v>
      </c>
      <c r="E1622" s="843">
        <v>2019</v>
      </c>
      <c r="F1622" s="844" t="s">
        <v>3278</v>
      </c>
      <c r="G1622" s="842" t="s">
        <v>3279</v>
      </c>
      <c r="H1622" s="843" t="s">
        <v>3280</v>
      </c>
      <c r="I1622" s="842" t="s">
        <v>3281</v>
      </c>
      <c r="J1622" s="840">
        <v>-11515170</v>
      </c>
      <c r="K1622" s="840">
        <v>-8131730</v>
      </c>
      <c r="L1622" s="841">
        <v>194525837</v>
      </c>
      <c r="M1622" s="840">
        <v>84472513</v>
      </c>
      <c r="N1622" s="839">
        <f>Indicadores[[#This Row],[Ventas]]/Indicadores[[#This Row],[Activos totales]]</f>
        <v>0.43424829473937698</v>
      </c>
      <c r="O1622" s="837">
        <f>IF(Indicadores[[#This Row],[Ventas]]=0,0,Indicadores[[#This Row],[EBITDA]]/Indicadores[[#This Row],[Ventas]])</f>
        <v>-9.6264805097014225E-2</v>
      </c>
      <c r="P1622" s="837">
        <f>IF(Indicadores[[#This Row],[Ventas]]=0,0,Indicadores[[#This Row],[UAI]]/Indicadores[[#This Row],[Ventas]])</f>
        <v>-0.13631854423461984</v>
      </c>
      <c r="Q1622" s="837">
        <f>IFERROR(Indicadores[[#This Row],[Ventas]]/Indicadores[[#This Row],[Activos totales]],0)</f>
        <v>0.43424829473937698</v>
      </c>
    </row>
    <row r="1623" spans="1:17" hidden="1" x14ac:dyDescent="0.3">
      <c r="A1623" s="13" t="str">
        <f>MID(Indicadores[[#This Row],[CIIU]],2,4)</f>
        <v>7220</v>
      </c>
      <c r="B1623" s="13" t="str">
        <f>Indicadores[[#This Row],[CIIU]]&amp;Indicadores[[#This Row],[Año]]</f>
        <v>M72202019</v>
      </c>
      <c r="C1623" s="845" t="s">
        <v>3255</v>
      </c>
      <c r="D1623" s="845" t="s">
        <v>3277</v>
      </c>
      <c r="E1623" s="843">
        <v>2019</v>
      </c>
      <c r="F1623" s="844" t="s">
        <v>3282</v>
      </c>
      <c r="G1623" s="842" t="s">
        <v>3283</v>
      </c>
      <c r="H1623" s="843" t="s">
        <v>3284</v>
      </c>
      <c r="I1623" s="842" t="s">
        <v>3283</v>
      </c>
      <c r="J1623" s="840">
        <v>1631258</v>
      </c>
      <c r="K1623" s="840">
        <v>1888390</v>
      </c>
      <c r="L1623" s="841">
        <v>15544789</v>
      </c>
      <c r="M1623" s="840">
        <v>9026604</v>
      </c>
      <c r="N1623" s="839">
        <f>Indicadores[[#This Row],[Ventas]]/Indicadores[[#This Row],[Activos totales]]</f>
        <v>0.58068359757086441</v>
      </c>
      <c r="O1623" s="837">
        <f>IF(Indicadores[[#This Row],[Ventas]]=0,0,Indicadores[[#This Row],[EBITDA]]/Indicadores[[#This Row],[Ventas]])</f>
        <v>0.20920270790653939</v>
      </c>
      <c r="P1623" s="837">
        <f>IF(Indicadores[[#This Row],[Ventas]]=0,0,Indicadores[[#This Row],[UAI]]/Indicadores[[#This Row],[Ventas]])</f>
        <v>0.18071669035220778</v>
      </c>
      <c r="Q1623" s="837">
        <f>IFERROR(Indicadores[[#This Row],[Ventas]]/Indicadores[[#This Row],[Activos totales]],0)</f>
        <v>0.58068359757086441</v>
      </c>
    </row>
    <row r="1624" spans="1:17" hidden="1" x14ac:dyDescent="0.3">
      <c r="A1624" s="13" t="str">
        <f>MID(Indicadores[[#This Row],[CIIU]],2,4)</f>
        <v>7310</v>
      </c>
      <c r="B1624" s="13" t="str">
        <f>Indicadores[[#This Row],[CIIU]]&amp;Indicadores[[#This Row],[Año]]</f>
        <v>M73102019</v>
      </c>
      <c r="C1624" s="845" t="s">
        <v>3255</v>
      </c>
      <c r="D1624" s="845" t="s">
        <v>3285</v>
      </c>
      <c r="E1624" s="843">
        <v>2019</v>
      </c>
      <c r="F1624" s="844" t="s">
        <v>3286</v>
      </c>
      <c r="G1624" s="842" t="s">
        <v>3287</v>
      </c>
      <c r="H1624" s="843" t="s">
        <v>3288</v>
      </c>
      <c r="I1624" s="842" t="s">
        <v>3287</v>
      </c>
      <c r="J1624" s="840">
        <v>-7747490</v>
      </c>
      <c r="K1624" s="840">
        <v>70736252</v>
      </c>
      <c r="L1624" s="841">
        <v>3358626245</v>
      </c>
      <c r="M1624" s="840">
        <v>2890629373</v>
      </c>
      <c r="N1624" s="839">
        <f>Indicadores[[#This Row],[Ventas]]/Indicadores[[#This Row],[Activos totales]]</f>
        <v>0.86065824600260044</v>
      </c>
      <c r="O1624" s="837">
        <f>IF(Indicadores[[#This Row],[Ventas]]=0,0,Indicadores[[#This Row],[EBITDA]]/Indicadores[[#This Row],[Ventas]])</f>
        <v>2.4470882590730526E-2</v>
      </c>
      <c r="P1624" s="837">
        <f>IF(Indicadores[[#This Row],[Ventas]]=0,0,Indicadores[[#This Row],[UAI]]/Indicadores[[#This Row],[Ventas]])</f>
        <v>-2.6802087020790818E-3</v>
      </c>
      <c r="Q1624" s="837">
        <f>IFERROR(Indicadores[[#This Row],[Ventas]]/Indicadores[[#This Row],[Activos totales]],0)</f>
        <v>0.86065824600260044</v>
      </c>
    </row>
    <row r="1625" spans="1:17" hidden="1" x14ac:dyDescent="0.3">
      <c r="A1625" s="13" t="str">
        <f>MID(Indicadores[[#This Row],[CIIU]],2,4)</f>
        <v>7320</v>
      </c>
      <c r="B1625" s="13" t="str">
        <f>Indicadores[[#This Row],[CIIU]]&amp;Indicadores[[#This Row],[Año]]</f>
        <v>M73202019</v>
      </c>
      <c r="C1625" s="845" t="s">
        <v>3255</v>
      </c>
      <c r="D1625" s="845" t="s">
        <v>3285</v>
      </c>
      <c r="E1625" s="843">
        <v>2019</v>
      </c>
      <c r="F1625" s="844" t="s">
        <v>3289</v>
      </c>
      <c r="G1625" s="842" t="s">
        <v>3290</v>
      </c>
      <c r="H1625" s="843" t="s">
        <v>3291</v>
      </c>
      <c r="I1625" s="842" t="s">
        <v>3290</v>
      </c>
      <c r="J1625" s="840">
        <v>24199522</v>
      </c>
      <c r="K1625" s="840">
        <v>39481263</v>
      </c>
      <c r="L1625" s="841">
        <v>358022022</v>
      </c>
      <c r="M1625" s="840">
        <v>406532986</v>
      </c>
      <c r="N1625" s="839">
        <f>Indicadores[[#This Row],[Ventas]]/Indicadores[[#This Row],[Activos totales]]</f>
        <v>1.1354971510663108</v>
      </c>
      <c r="O1625" s="837">
        <f>IF(Indicadores[[#This Row],[Ventas]]=0,0,Indicadores[[#This Row],[EBITDA]]/Indicadores[[#This Row],[Ventas]])</f>
        <v>9.711699753682472E-2</v>
      </c>
      <c r="P1625" s="837">
        <f>IF(Indicadores[[#This Row],[Ventas]]=0,0,Indicadores[[#This Row],[UAI]]/Indicadores[[#This Row],[Ventas]])</f>
        <v>5.9526589067485904E-2</v>
      </c>
      <c r="Q1625" s="837">
        <f>IFERROR(Indicadores[[#This Row],[Ventas]]/Indicadores[[#This Row],[Activos totales]],0)</f>
        <v>1.1354971510663108</v>
      </c>
    </row>
    <row r="1626" spans="1:17" hidden="1" x14ac:dyDescent="0.3">
      <c r="A1626" s="13" t="str">
        <f>MID(Indicadores[[#This Row],[CIIU]],2,4)</f>
        <v>7410</v>
      </c>
      <c r="B1626" s="13" t="str">
        <f>Indicadores[[#This Row],[CIIU]]&amp;Indicadores[[#This Row],[Año]]</f>
        <v>M74102019</v>
      </c>
      <c r="C1626" s="845" t="s">
        <v>3255</v>
      </c>
      <c r="D1626" s="845" t="s">
        <v>3292</v>
      </c>
      <c r="E1626" s="843">
        <v>2019</v>
      </c>
      <c r="F1626" s="844" t="s">
        <v>3293</v>
      </c>
      <c r="G1626" s="842" t="s">
        <v>3294</v>
      </c>
      <c r="H1626" s="843" t="s">
        <v>3295</v>
      </c>
      <c r="I1626" s="842" t="s">
        <v>3296</v>
      </c>
      <c r="J1626" s="840">
        <v>-1413708</v>
      </c>
      <c r="K1626" s="840">
        <v>-943687</v>
      </c>
      <c r="L1626" s="841">
        <v>126370895</v>
      </c>
      <c r="M1626" s="840">
        <v>42486162</v>
      </c>
      <c r="N1626" s="839">
        <f>Indicadores[[#This Row],[Ventas]]/Indicadores[[#This Row],[Activos totales]]</f>
        <v>0.3362021136275089</v>
      </c>
      <c r="O1626" s="837">
        <f>IF(Indicadores[[#This Row],[Ventas]]=0,0,Indicadores[[#This Row],[EBITDA]]/Indicadores[[#This Row],[Ventas]])</f>
        <v>-2.2211632107414173E-2</v>
      </c>
      <c r="P1626" s="837">
        <f>IF(Indicadores[[#This Row],[Ventas]]=0,0,Indicadores[[#This Row],[UAI]]/Indicadores[[#This Row],[Ventas]])</f>
        <v>-3.3274551841138297E-2</v>
      </c>
      <c r="Q1626" s="837">
        <f>IFERROR(Indicadores[[#This Row],[Ventas]]/Indicadores[[#This Row],[Activos totales]],0)</f>
        <v>0.3362021136275089</v>
      </c>
    </row>
    <row r="1627" spans="1:17" hidden="1" x14ac:dyDescent="0.3">
      <c r="A1627" s="13" t="str">
        <f>MID(Indicadores[[#This Row],[CIIU]],2,4)</f>
        <v>7420</v>
      </c>
      <c r="B1627" s="13" t="str">
        <f>Indicadores[[#This Row],[CIIU]]&amp;Indicadores[[#This Row],[Año]]</f>
        <v>M74202019</v>
      </c>
      <c r="C1627" s="845" t="s">
        <v>3255</v>
      </c>
      <c r="D1627" s="845" t="s">
        <v>3292</v>
      </c>
      <c r="E1627" s="843">
        <v>2019</v>
      </c>
      <c r="F1627" s="844" t="s">
        <v>3297</v>
      </c>
      <c r="G1627" s="842" t="s">
        <v>3298</v>
      </c>
      <c r="H1627" s="843" t="s">
        <v>3299</v>
      </c>
      <c r="I1627" s="842" t="s">
        <v>3298</v>
      </c>
      <c r="J1627" s="840">
        <v>-3605097</v>
      </c>
      <c r="K1627" s="840">
        <v>-1681636</v>
      </c>
      <c r="L1627" s="841">
        <v>73526965</v>
      </c>
      <c r="M1627" s="840">
        <v>22708091</v>
      </c>
      <c r="N1627" s="839">
        <f>Indicadores[[#This Row],[Ventas]]/Indicadores[[#This Row],[Activos totales]]</f>
        <v>0.30884031457030764</v>
      </c>
      <c r="O1627" s="837">
        <f>IF(Indicadores[[#This Row],[Ventas]]=0,0,Indicadores[[#This Row],[EBITDA]]/Indicadores[[#This Row],[Ventas]])</f>
        <v>-7.4054485689704172E-2</v>
      </c>
      <c r="P1627" s="837">
        <f>IF(Indicadores[[#This Row],[Ventas]]=0,0,Indicadores[[#This Row],[UAI]]/Indicadores[[#This Row],[Ventas]])</f>
        <v>-0.15875825933584642</v>
      </c>
      <c r="Q1627" s="837">
        <f>IFERROR(Indicadores[[#This Row],[Ventas]]/Indicadores[[#This Row],[Activos totales]],0)</f>
        <v>0.30884031457030764</v>
      </c>
    </row>
    <row r="1628" spans="1:17" hidden="1" x14ac:dyDescent="0.3">
      <c r="A1628" s="13" t="str">
        <f>MID(Indicadores[[#This Row],[CIIU]],2,4)</f>
        <v>7490</v>
      </c>
      <c r="B1628" s="13" t="str">
        <f>Indicadores[[#This Row],[CIIU]]&amp;Indicadores[[#This Row],[Año]]</f>
        <v>M74902019</v>
      </c>
      <c r="C1628" s="845" t="s">
        <v>3255</v>
      </c>
      <c r="D1628" s="845" t="s">
        <v>3292</v>
      </c>
      <c r="E1628" s="843">
        <v>2019</v>
      </c>
      <c r="F1628" s="844" t="s">
        <v>3300</v>
      </c>
      <c r="G1628" s="842" t="s">
        <v>3301</v>
      </c>
      <c r="H1628" s="843" t="s">
        <v>3302</v>
      </c>
      <c r="I1628" s="842" t="s">
        <v>3301</v>
      </c>
      <c r="J1628" s="840">
        <v>1656093783</v>
      </c>
      <c r="K1628" s="840">
        <v>1681455644</v>
      </c>
      <c r="L1628" s="841">
        <v>19718981240</v>
      </c>
      <c r="M1628" s="840">
        <v>3034593403</v>
      </c>
      <c r="N1628" s="839">
        <f>Indicadores[[#This Row],[Ventas]]/Indicadores[[#This Row],[Activos totales]]</f>
        <v>0.15389199705937751</v>
      </c>
      <c r="O1628" s="837">
        <f>IF(Indicadores[[#This Row],[Ventas]]=0,0,Indicadores[[#This Row],[EBITDA]]/Indicadores[[#This Row],[Ventas]])</f>
        <v>0.5540958608615284</v>
      </c>
      <c r="P1628" s="837">
        <f>IF(Indicadores[[#This Row],[Ventas]]=0,0,Indicadores[[#This Row],[UAI]]/Indicadores[[#This Row],[Ventas]])</f>
        <v>0.54573827958723731</v>
      </c>
      <c r="Q1628" s="837">
        <f>IFERROR(Indicadores[[#This Row],[Ventas]]/Indicadores[[#This Row],[Activos totales]],0)</f>
        <v>0.15389199705937751</v>
      </c>
    </row>
    <row r="1629" spans="1:17" hidden="1" x14ac:dyDescent="0.3">
      <c r="A1629" s="13" t="str">
        <f>MID(Indicadores[[#This Row],[CIIU]],2,4)</f>
        <v>7500</v>
      </c>
      <c r="B1629" s="13" t="str">
        <f>Indicadores[[#This Row],[CIIU]]&amp;Indicadores[[#This Row],[Año]]</f>
        <v>M75002019</v>
      </c>
      <c r="C1629" s="845" t="s">
        <v>3255</v>
      </c>
      <c r="D1629" s="845" t="s">
        <v>3603</v>
      </c>
      <c r="E1629" s="843">
        <v>2019</v>
      </c>
      <c r="F1629" s="844" t="s">
        <v>3604</v>
      </c>
      <c r="G1629" s="842" t="s">
        <v>3605</v>
      </c>
      <c r="H1629" s="843" t="s">
        <v>3606</v>
      </c>
      <c r="I1629" s="842" t="s">
        <v>3605</v>
      </c>
      <c r="J1629" s="840">
        <v>938327</v>
      </c>
      <c r="K1629" s="840">
        <v>951503</v>
      </c>
      <c r="L1629" s="841">
        <v>22549625</v>
      </c>
      <c r="M1629" s="840">
        <v>5787739</v>
      </c>
      <c r="N1629" s="839">
        <f>Indicadores[[#This Row],[Ventas]]/Indicadores[[#This Row],[Activos totales]]</f>
        <v>0.25666675166438468</v>
      </c>
      <c r="O1629" s="837">
        <f>IF(Indicadores[[#This Row],[Ventas]]=0,0,Indicadores[[#This Row],[EBITDA]]/Indicadores[[#This Row],[Ventas]])</f>
        <v>0.16439977683858931</v>
      </c>
      <c r="P1629" s="837">
        <f>IF(Indicadores[[#This Row],[Ventas]]=0,0,Indicadores[[#This Row],[UAI]]/Indicadores[[#This Row],[Ventas]])</f>
        <v>0.16212324018066468</v>
      </c>
      <c r="Q1629" s="837">
        <f>IFERROR(Indicadores[[#This Row],[Ventas]]/Indicadores[[#This Row],[Activos totales]],0)</f>
        <v>0.25666675166438468</v>
      </c>
    </row>
    <row r="1630" spans="1:17" hidden="1" x14ac:dyDescent="0.3">
      <c r="A1630" s="13" t="str">
        <f>MID(Indicadores[[#This Row],[CIIU]],2,4)</f>
        <v>7710</v>
      </c>
      <c r="B1630" s="13" t="str">
        <f>Indicadores[[#This Row],[CIIU]]&amp;Indicadores[[#This Row],[Año]]</f>
        <v>N77102019</v>
      </c>
      <c r="C1630" s="845" t="s">
        <v>3303</v>
      </c>
      <c r="D1630" s="845" t="s">
        <v>3304</v>
      </c>
      <c r="E1630" s="843">
        <v>2019</v>
      </c>
      <c r="F1630" s="844" t="s">
        <v>3305</v>
      </c>
      <c r="G1630" s="842" t="s">
        <v>3306</v>
      </c>
      <c r="H1630" s="843" t="s">
        <v>3307</v>
      </c>
      <c r="I1630" s="842" t="s">
        <v>3306</v>
      </c>
      <c r="J1630" s="840">
        <v>219525372</v>
      </c>
      <c r="K1630" s="840">
        <v>482551740</v>
      </c>
      <c r="L1630" s="841">
        <v>3350507378</v>
      </c>
      <c r="M1630" s="840">
        <v>1087786361</v>
      </c>
      <c r="N1630" s="839">
        <f>Indicadores[[#This Row],[Ventas]]/Indicadores[[#This Row],[Activos totales]]</f>
        <v>0.32466317434266517</v>
      </c>
      <c r="O1630" s="837">
        <f>IF(Indicadores[[#This Row],[Ventas]]=0,0,Indicadores[[#This Row],[EBITDA]]/Indicadores[[#This Row],[Ventas]])</f>
        <v>0.44360892662451756</v>
      </c>
      <c r="P1630" s="837">
        <f>IF(Indicadores[[#This Row],[Ventas]]=0,0,Indicadores[[#This Row],[UAI]]/Indicadores[[#This Row],[Ventas]])</f>
        <v>0.20180927052458236</v>
      </c>
      <c r="Q1630" s="837">
        <f>IFERROR(Indicadores[[#This Row],[Ventas]]/Indicadores[[#This Row],[Activos totales]],0)</f>
        <v>0.32466317434266517</v>
      </c>
    </row>
    <row r="1631" spans="1:17" hidden="1" x14ac:dyDescent="0.3">
      <c r="A1631" s="13" t="str">
        <f>MID(Indicadores[[#This Row],[CIIU]],2,4)</f>
        <v>7721</v>
      </c>
      <c r="B1631" s="13" t="str">
        <f>Indicadores[[#This Row],[CIIU]]&amp;Indicadores[[#This Row],[Año]]</f>
        <v>N77212019</v>
      </c>
      <c r="C1631" s="845" t="s">
        <v>3303</v>
      </c>
      <c r="D1631" s="845" t="s">
        <v>3304</v>
      </c>
      <c r="E1631" s="843">
        <v>2019</v>
      </c>
      <c r="F1631" s="844" t="s">
        <v>3308</v>
      </c>
      <c r="G1631" s="842" t="s">
        <v>3309</v>
      </c>
      <c r="H1631" s="843" t="s">
        <v>3310</v>
      </c>
      <c r="I1631" s="842" t="s">
        <v>3309</v>
      </c>
      <c r="J1631" s="840">
        <v>282970</v>
      </c>
      <c r="K1631" s="840">
        <v>410140</v>
      </c>
      <c r="L1631" s="841">
        <v>17196810</v>
      </c>
      <c r="M1631" s="840">
        <v>960758</v>
      </c>
      <c r="N1631" s="839">
        <f>Indicadores[[#This Row],[Ventas]]/Indicadores[[#This Row],[Activos totales]]</f>
        <v>5.5868384892314334E-2</v>
      </c>
      <c r="O1631" s="837">
        <f>IF(Indicadores[[#This Row],[Ventas]]=0,0,Indicadores[[#This Row],[EBITDA]]/Indicadores[[#This Row],[Ventas]])</f>
        <v>0.42689209977954906</v>
      </c>
      <c r="P1631" s="837">
        <f>IF(Indicadores[[#This Row],[Ventas]]=0,0,Indicadores[[#This Row],[UAI]]/Indicadores[[#This Row],[Ventas]])</f>
        <v>0.29452786237533279</v>
      </c>
      <c r="Q1631" s="837">
        <f>IFERROR(Indicadores[[#This Row],[Ventas]]/Indicadores[[#This Row],[Activos totales]],0)</f>
        <v>5.5868384892314334E-2</v>
      </c>
    </row>
    <row r="1632" spans="1:17" hidden="1" x14ac:dyDescent="0.3">
      <c r="A1632" s="13" t="str">
        <f>MID(Indicadores[[#This Row],[CIIU]],2,4)</f>
        <v>7729</v>
      </c>
      <c r="B1632" s="13" t="str">
        <f>Indicadores[[#This Row],[CIIU]]&amp;Indicadores[[#This Row],[Año]]</f>
        <v>N77292019</v>
      </c>
      <c r="C1632" s="845" t="s">
        <v>3303</v>
      </c>
      <c r="D1632" s="845" t="s">
        <v>3304</v>
      </c>
      <c r="E1632" s="843">
        <v>2019</v>
      </c>
      <c r="F1632" s="844" t="s">
        <v>3576</v>
      </c>
      <c r="G1632" s="842" t="s">
        <v>3577</v>
      </c>
      <c r="H1632" s="843" t="s">
        <v>3578</v>
      </c>
      <c r="I1632" s="842" t="s">
        <v>3577</v>
      </c>
      <c r="J1632" s="840">
        <v>191113</v>
      </c>
      <c r="K1632" s="840">
        <v>243638</v>
      </c>
      <c r="L1632" s="841">
        <v>10473698</v>
      </c>
      <c r="M1632" s="840">
        <v>950163</v>
      </c>
      <c r="N1632" s="839">
        <f>Indicadores[[#This Row],[Ventas]]/Indicadores[[#This Row],[Activos totales]]</f>
        <v>9.071896096297602E-2</v>
      </c>
      <c r="O1632" s="837">
        <f>IF(Indicadores[[#This Row],[Ventas]]=0,0,Indicadores[[#This Row],[EBITDA]]/Indicadores[[#This Row],[Ventas]])</f>
        <v>0.25641705686287508</v>
      </c>
      <c r="P1632" s="837">
        <f>IF(Indicadores[[#This Row],[Ventas]]=0,0,Indicadores[[#This Row],[UAI]]/Indicadores[[#This Row],[Ventas]])</f>
        <v>0.20113706806095374</v>
      </c>
      <c r="Q1632" s="837">
        <f>IFERROR(Indicadores[[#This Row],[Ventas]]/Indicadores[[#This Row],[Activos totales]],0)</f>
        <v>9.071896096297602E-2</v>
      </c>
    </row>
    <row r="1633" spans="1:17" hidden="1" x14ac:dyDescent="0.3">
      <c r="A1633" s="13" t="str">
        <f>MID(Indicadores[[#This Row],[CIIU]],2,4)</f>
        <v>7730</v>
      </c>
      <c r="B1633" s="13" t="str">
        <f>Indicadores[[#This Row],[CIIU]]&amp;Indicadores[[#This Row],[Año]]</f>
        <v>N77302019</v>
      </c>
      <c r="C1633" s="845" t="s">
        <v>3303</v>
      </c>
      <c r="D1633" s="845" t="s">
        <v>3304</v>
      </c>
      <c r="E1633" s="843">
        <v>2019</v>
      </c>
      <c r="F1633" s="844" t="s">
        <v>3311</v>
      </c>
      <c r="G1633" s="842" t="s">
        <v>3312</v>
      </c>
      <c r="H1633" s="843" t="s">
        <v>3313</v>
      </c>
      <c r="I1633" s="842" t="s">
        <v>3312</v>
      </c>
      <c r="J1633" s="840">
        <v>216869494</v>
      </c>
      <c r="K1633" s="840">
        <v>665902089</v>
      </c>
      <c r="L1633" s="841">
        <v>5615744941</v>
      </c>
      <c r="M1633" s="840">
        <v>2294030882</v>
      </c>
      <c r="N1633" s="839">
        <f>Indicadores[[#This Row],[Ventas]]/Indicadores[[#This Row],[Activos totales]]</f>
        <v>0.40849983503551002</v>
      </c>
      <c r="O1633" s="837">
        <f>IF(Indicadores[[#This Row],[Ventas]]=0,0,Indicadores[[#This Row],[EBITDA]]/Indicadores[[#This Row],[Ventas]])</f>
        <v>0.29027599158536527</v>
      </c>
      <c r="P1633" s="837">
        <f>IF(Indicadores[[#This Row],[Ventas]]=0,0,Indicadores[[#This Row],[UAI]]/Indicadores[[#This Row],[Ventas]])</f>
        <v>9.453643178984894E-2</v>
      </c>
      <c r="Q1633" s="837">
        <f>IFERROR(Indicadores[[#This Row],[Ventas]]/Indicadores[[#This Row],[Activos totales]],0)</f>
        <v>0.40849983503551002</v>
      </c>
    </row>
    <row r="1634" spans="1:17" hidden="1" x14ac:dyDescent="0.3">
      <c r="A1634" s="13" t="str">
        <f>MID(Indicadores[[#This Row],[CIIU]],2,4)</f>
        <v>7740</v>
      </c>
      <c r="B1634" s="13" t="str">
        <f>Indicadores[[#This Row],[CIIU]]&amp;Indicadores[[#This Row],[Año]]</f>
        <v>N77402019</v>
      </c>
      <c r="C1634" s="845" t="s">
        <v>3303</v>
      </c>
      <c r="D1634" s="845" t="s">
        <v>3304</v>
      </c>
      <c r="E1634" s="843">
        <v>2019</v>
      </c>
      <c r="F1634" s="844" t="s">
        <v>3314</v>
      </c>
      <c r="G1634" s="842" t="s">
        <v>3315</v>
      </c>
      <c r="H1634" s="843" t="s">
        <v>3316</v>
      </c>
      <c r="I1634" s="842" t="s">
        <v>3315</v>
      </c>
      <c r="J1634" s="840">
        <v>41755209</v>
      </c>
      <c r="K1634" s="840">
        <v>47100550</v>
      </c>
      <c r="L1634" s="841">
        <v>237509655</v>
      </c>
      <c r="M1634" s="840">
        <v>121273357</v>
      </c>
      <c r="N1634" s="839">
        <f>Indicadores[[#This Row],[Ventas]]/Indicadores[[#This Row],[Activos totales]]</f>
        <v>0.51060390366025332</v>
      </c>
      <c r="O1634" s="837">
        <f>IF(Indicadores[[#This Row],[Ventas]]=0,0,Indicadores[[#This Row],[EBITDA]]/Indicadores[[#This Row],[Ventas]])</f>
        <v>0.388383328087471</v>
      </c>
      <c r="P1634" s="837">
        <f>IF(Indicadores[[#This Row],[Ventas]]=0,0,Indicadores[[#This Row],[UAI]]/Indicadores[[#This Row],[Ventas]])</f>
        <v>0.34430653222537577</v>
      </c>
      <c r="Q1634" s="837">
        <f>IFERROR(Indicadores[[#This Row],[Ventas]]/Indicadores[[#This Row],[Activos totales]],0)</f>
        <v>0.51060390366025332</v>
      </c>
    </row>
    <row r="1635" spans="1:17" hidden="1" x14ac:dyDescent="0.3">
      <c r="A1635" s="13" t="str">
        <f>MID(Indicadores[[#This Row],[CIIU]],2,4)</f>
        <v>7810</v>
      </c>
      <c r="B1635" s="13" t="str">
        <f>Indicadores[[#This Row],[CIIU]]&amp;Indicadores[[#This Row],[Año]]</f>
        <v>N78102019</v>
      </c>
      <c r="C1635" s="845" t="s">
        <v>3303</v>
      </c>
      <c r="D1635" s="845" t="s">
        <v>3317</v>
      </c>
      <c r="E1635" s="843">
        <v>2019</v>
      </c>
      <c r="F1635" s="844" t="s">
        <v>3318</v>
      </c>
      <c r="G1635" s="842" t="s">
        <v>3319</v>
      </c>
      <c r="H1635" s="843" t="s">
        <v>3320</v>
      </c>
      <c r="I1635" s="842" t="s">
        <v>3319</v>
      </c>
      <c r="J1635" s="840">
        <v>6103049</v>
      </c>
      <c r="K1635" s="840">
        <v>7380741</v>
      </c>
      <c r="L1635" s="841">
        <v>211581807</v>
      </c>
      <c r="M1635" s="840">
        <v>286640567</v>
      </c>
      <c r="N1635" s="839">
        <f>Indicadores[[#This Row],[Ventas]]/Indicadores[[#This Row],[Activos totales]]</f>
        <v>1.3547505386415384</v>
      </c>
      <c r="O1635" s="837">
        <f>IF(Indicadores[[#This Row],[Ventas]]=0,0,Indicadores[[#This Row],[EBITDA]]/Indicadores[[#This Row],[Ventas]])</f>
        <v>2.574911526741433E-2</v>
      </c>
      <c r="P1635" s="837">
        <f>IF(Indicadores[[#This Row],[Ventas]]=0,0,Indicadores[[#This Row],[UAI]]/Indicadores[[#This Row],[Ventas]])</f>
        <v>2.1291644319137843E-2</v>
      </c>
      <c r="Q1635" s="837">
        <f>IFERROR(Indicadores[[#This Row],[Ventas]]/Indicadores[[#This Row],[Activos totales]],0)</f>
        <v>1.3547505386415384</v>
      </c>
    </row>
    <row r="1636" spans="1:17" hidden="1" x14ac:dyDescent="0.3">
      <c r="A1636" s="13" t="str">
        <f>MID(Indicadores[[#This Row],[CIIU]],2,4)</f>
        <v>7820</v>
      </c>
      <c r="B1636" s="13" t="str">
        <f>Indicadores[[#This Row],[CIIU]]&amp;Indicadores[[#This Row],[Año]]</f>
        <v>N78202019</v>
      </c>
      <c r="C1636" s="845" t="s">
        <v>3303</v>
      </c>
      <c r="D1636" s="845" t="s">
        <v>3317</v>
      </c>
      <c r="E1636" s="843">
        <v>2019</v>
      </c>
      <c r="F1636" s="844" t="s">
        <v>3321</v>
      </c>
      <c r="G1636" s="842" t="s">
        <v>3322</v>
      </c>
      <c r="H1636" s="843" t="s">
        <v>3323</v>
      </c>
      <c r="I1636" s="842" t="s">
        <v>3322</v>
      </c>
      <c r="J1636" s="840">
        <v>111096183</v>
      </c>
      <c r="K1636" s="840">
        <v>121908782</v>
      </c>
      <c r="L1636" s="841">
        <v>1480304763</v>
      </c>
      <c r="M1636" s="840">
        <v>7446814381</v>
      </c>
      <c r="N1636" s="839">
        <f>Indicadores[[#This Row],[Ventas]]/Indicadores[[#This Row],[Activos totales]]</f>
        <v>5.0305954335431666</v>
      </c>
      <c r="O1636" s="837">
        <f>IF(Indicadores[[#This Row],[Ventas]]=0,0,Indicadores[[#This Row],[EBITDA]]/Indicadores[[#This Row],[Ventas]])</f>
        <v>1.6370594963537873E-2</v>
      </c>
      <c r="P1636" s="837">
        <f>IF(Indicadores[[#This Row],[Ventas]]=0,0,Indicadores[[#This Row],[UAI]]/Indicadores[[#This Row],[Ventas]])</f>
        <v>1.4918618528139194E-2</v>
      </c>
      <c r="Q1636" s="837">
        <f>IFERROR(Indicadores[[#This Row],[Ventas]]/Indicadores[[#This Row],[Activos totales]],0)</f>
        <v>5.0305954335431666</v>
      </c>
    </row>
    <row r="1637" spans="1:17" hidden="1" x14ac:dyDescent="0.3">
      <c r="A1637" s="13" t="str">
        <f>MID(Indicadores[[#This Row],[CIIU]],2,4)</f>
        <v>7830</v>
      </c>
      <c r="B1637" s="13" t="str">
        <f>Indicadores[[#This Row],[CIIU]]&amp;Indicadores[[#This Row],[Año]]</f>
        <v>N78302019</v>
      </c>
      <c r="C1637" s="845" t="s">
        <v>3303</v>
      </c>
      <c r="D1637" s="845" t="s">
        <v>3317</v>
      </c>
      <c r="E1637" s="843">
        <v>2019</v>
      </c>
      <c r="F1637" s="844" t="s">
        <v>3324</v>
      </c>
      <c r="G1637" s="842" t="s">
        <v>3325</v>
      </c>
      <c r="H1637" s="843" t="s">
        <v>3326</v>
      </c>
      <c r="I1637" s="842" t="s">
        <v>3325</v>
      </c>
      <c r="J1637" s="840">
        <v>22951117</v>
      </c>
      <c r="K1637" s="840">
        <v>32037245</v>
      </c>
      <c r="L1637" s="841">
        <v>322399489</v>
      </c>
      <c r="M1637" s="840">
        <v>978030035</v>
      </c>
      <c r="N1637" s="839">
        <f>Indicadores[[#This Row],[Ventas]]/Indicadores[[#This Row],[Activos totales]]</f>
        <v>3.0335967281883627</v>
      </c>
      <c r="O1637" s="837">
        <f>IF(Indicadores[[#This Row],[Ventas]]=0,0,Indicadores[[#This Row],[EBITDA]]/Indicadores[[#This Row],[Ventas]])</f>
        <v>3.2756913237332229E-2</v>
      </c>
      <c r="P1637" s="837">
        <f>IF(Indicadores[[#This Row],[Ventas]]=0,0,Indicadores[[#This Row],[UAI]]/Indicadores[[#This Row],[Ventas]])</f>
        <v>2.3466679118908654E-2</v>
      </c>
      <c r="Q1637" s="837">
        <f>IFERROR(Indicadores[[#This Row],[Ventas]]/Indicadores[[#This Row],[Activos totales]],0)</f>
        <v>3.0335967281883627</v>
      </c>
    </row>
    <row r="1638" spans="1:17" hidden="1" x14ac:dyDescent="0.3">
      <c r="A1638" s="13" t="str">
        <f>MID(Indicadores[[#This Row],[CIIU]],2,4)</f>
        <v>7911</v>
      </c>
      <c r="B1638" s="13" t="str">
        <f>Indicadores[[#This Row],[CIIU]]&amp;Indicadores[[#This Row],[Año]]</f>
        <v>N79112019</v>
      </c>
      <c r="C1638" s="845" t="s">
        <v>3303</v>
      </c>
      <c r="D1638" s="845" t="s">
        <v>3327</v>
      </c>
      <c r="E1638" s="843">
        <v>2019</v>
      </c>
      <c r="F1638" s="844" t="s">
        <v>3328</v>
      </c>
      <c r="G1638" s="842" t="s">
        <v>3329</v>
      </c>
      <c r="H1638" s="843" t="s">
        <v>3330</v>
      </c>
      <c r="I1638" s="842" t="s">
        <v>3329</v>
      </c>
      <c r="J1638" s="840">
        <v>29270364</v>
      </c>
      <c r="K1638" s="840">
        <v>39299368</v>
      </c>
      <c r="L1638" s="841">
        <v>821688530</v>
      </c>
      <c r="M1638" s="840">
        <v>796951533</v>
      </c>
      <c r="N1638" s="839">
        <f>Indicadores[[#This Row],[Ventas]]/Indicadores[[#This Row],[Activos totales]]</f>
        <v>0.9698949223497132</v>
      </c>
      <c r="O1638" s="837">
        <f>IF(Indicadores[[#This Row],[Ventas]]=0,0,Indicadores[[#This Row],[EBITDA]]/Indicadores[[#This Row],[Ventas]])</f>
        <v>4.9312117955358774E-2</v>
      </c>
      <c r="P1638" s="837">
        <f>IF(Indicadores[[#This Row],[Ventas]]=0,0,Indicadores[[#This Row],[UAI]]/Indicadores[[#This Row],[Ventas]])</f>
        <v>3.6727909776164518E-2</v>
      </c>
      <c r="Q1638" s="837">
        <f>IFERROR(Indicadores[[#This Row],[Ventas]]/Indicadores[[#This Row],[Activos totales]],0)</f>
        <v>0.9698949223497132</v>
      </c>
    </row>
    <row r="1639" spans="1:17" hidden="1" x14ac:dyDescent="0.3">
      <c r="A1639" s="13" t="str">
        <f>MID(Indicadores[[#This Row],[CIIU]],2,4)</f>
        <v>7912</v>
      </c>
      <c r="B1639" s="13" t="str">
        <f>Indicadores[[#This Row],[CIIU]]&amp;Indicadores[[#This Row],[Año]]</f>
        <v>N79122019</v>
      </c>
      <c r="C1639" s="845" t="s">
        <v>3303</v>
      </c>
      <c r="D1639" s="845" t="s">
        <v>3327</v>
      </c>
      <c r="E1639" s="843">
        <v>2019</v>
      </c>
      <c r="F1639" s="844" t="s">
        <v>3331</v>
      </c>
      <c r="G1639" s="842" t="s">
        <v>3332</v>
      </c>
      <c r="H1639" s="843" t="s">
        <v>3333</v>
      </c>
      <c r="I1639" s="842" t="s">
        <v>3332</v>
      </c>
      <c r="J1639" s="840">
        <v>4773335</v>
      </c>
      <c r="K1639" s="840">
        <v>5897642</v>
      </c>
      <c r="L1639" s="841">
        <v>87107917</v>
      </c>
      <c r="M1639" s="840">
        <v>99143684</v>
      </c>
      <c r="N1639" s="839">
        <f>Indicadores[[#This Row],[Ventas]]/Indicadores[[#This Row],[Activos totales]]</f>
        <v>1.1381707589219474</v>
      </c>
      <c r="O1639" s="837">
        <f>IF(Indicadores[[#This Row],[Ventas]]=0,0,Indicadores[[#This Row],[EBITDA]]/Indicadores[[#This Row],[Ventas]])</f>
        <v>5.9485806478605331E-2</v>
      </c>
      <c r="P1639" s="837">
        <f>IF(Indicadores[[#This Row],[Ventas]]=0,0,Indicadores[[#This Row],[UAI]]/Indicadores[[#This Row],[Ventas]])</f>
        <v>4.8145628722047487E-2</v>
      </c>
      <c r="Q1639" s="837">
        <f>IFERROR(Indicadores[[#This Row],[Ventas]]/Indicadores[[#This Row],[Activos totales]],0)</f>
        <v>1.1381707589219474</v>
      </c>
    </row>
    <row r="1640" spans="1:17" hidden="1" x14ac:dyDescent="0.3">
      <c r="A1640" s="13" t="str">
        <f>MID(Indicadores[[#This Row],[CIIU]],2,4)</f>
        <v>7990</v>
      </c>
      <c r="B1640" s="13" t="str">
        <f>Indicadores[[#This Row],[CIIU]]&amp;Indicadores[[#This Row],[Año]]</f>
        <v>N79902019</v>
      </c>
      <c r="C1640" s="845" t="s">
        <v>3303</v>
      </c>
      <c r="D1640" s="845" t="s">
        <v>3327</v>
      </c>
      <c r="E1640" s="843">
        <v>2019</v>
      </c>
      <c r="F1640" s="844" t="s">
        <v>3334</v>
      </c>
      <c r="G1640" s="842" t="s">
        <v>3335</v>
      </c>
      <c r="H1640" s="843" t="s">
        <v>3336</v>
      </c>
      <c r="I1640" s="842" t="s">
        <v>3335</v>
      </c>
      <c r="J1640" s="840">
        <v>23605578</v>
      </c>
      <c r="K1640" s="840">
        <v>25411275</v>
      </c>
      <c r="L1640" s="841">
        <v>770447622</v>
      </c>
      <c r="M1640" s="840">
        <v>149438066</v>
      </c>
      <c r="N1640" s="839">
        <f>Indicadores[[#This Row],[Ventas]]/Indicadores[[#This Row],[Activos totales]]</f>
        <v>0.19396265460859582</v>
      </c>
      <c r="O1640" s="837">
        <f>IF(Indicadores[[#This Row],[Ventas]]=0,0,Indicadores[[#This Row],[EBITDA]]/Indicadores[[#This Row],[Ventas]])</f>
        <v>0.17004552909564555</v>
      </c>
      <c r="P1640" s="837">
        <f>IF(Indicadores[[#This Row],[Ventas]]=0,0,Indicadores[[#This Row],[UAI]]/Indicadores[[#This Row],[Ventas]])</f>
        <v>0.15796228251508554</v>
      </c>
      <c r="Q1640" s="837">
        <f>IFERROR(Indicadores[[#This Row],[Ventas]]/Indicadores[[#This Row],[Activos totales]],0)</f>
        <v>0.19396265460859582</v>
      </c>
    </row>
    <row r="1641" spans="1:17" hidden="1" x14ac:dyDescent="0.3">
      <c r="A1641" s="13" t="str">
        <f>MID(Indicadores[[#This Row],[CIIU]],2,4)</f>
        <v>8010</v>
      </c>
      <c r="B1641" s="13" t="str">
        <f>Indicadores[[#This Row],[CIIU]]&amp;Indicadores[[#This Row],[Año]]</f>
        <v>N80102019</v>
      </c>
      <c r="C1641" s="845" t="s">
        <v>3303</v>
      </c>
      <c r="D1641" s="845" t="s">
        <v>3337</v>
      </c>
      <c r="E1641" s="843">
        <v>2019</v>
      </c>
      <c r="F1641" s="844" t="s">
        <v>3338</v>
      </c>
      <c r="G1641" s="842" t="s">
        <v>3339</v>
      </c>
      <c r="H1641" s="843" t="s">
        <v>3340</v>
      </c>
      <c r="I1641" s="842" t="s">
        <v>3339</v>
      </c>
      <c r="J1641" s="840">
        <v>20201409</v>
      </c>
      <c r="K1641" s="840">
        <v>22710289</v>
      </c>
      <c r="L1641" s="841">
        <v>215624346</v>
      </c>
      <c r="M1641" s="840">
        <v>459827036</v>
      </c>
      <c r="N1641" s="839">
        <f>Indicadores[[#This Row],[Ventas]]/Indicadores[[#This Row],[Activos totales]]</f>
        <v>2.1325376495286856</v>
      </c>
      <c r="O1641" s="837">
        <f>IF(Indicadores[[#This Row],[Ventas]]=0,0,Indicadores[[#This Row],[EBITDA]]/Indicadores[[#This Row],[Ventas]])</f>
        <v>4.9388764083023604E-2</v>
      </c>
      <c r="P1641" s="837">
        <f>IF(Indicadores[[#This Row],[Ventas]]=0,0,Indicadores[[#This Row],[UAI]]/Indicadores[[#This Row],[Ventas]])</f>
        <v>4.3932625570976651E-2</v>
      </c>
      <c r="Q1641" s="837">
        <f>IFERROR(Indicadores[[#This Row],[Ventas]]/Indicadores[[#This Row],[Activos totales]],0)</f>
        <v>2.1325376495286856</v>
      </c>
    </row>
    <row r="1642" spans="1:17" hidden="1" x14ac:dyDescent="0.3">
      <c r="A1642" s="13" t="str">
        <f>MID(Indicadores[[#This Row],[CIIU]],2,4)</f>
        <v>8020</v>
      </c>
      <c r="B1642" s="13" t="str">
        <f>Indicadores[[#This Row],[CIIU]]&amp;Indicadores[[#This Row],[Año]]</f>
        <v>N80202019</v>
      </c>
      <c r="C1642" s="845" t="s">
        <v>3303</v>
      </c>
      <c r="D1642" s="845" t="s">
        <v>3337</v>
      </c>
      <c r="E1642" s="843">
        <v>2019</v>
      </c>
      <c r="F1642" s="844" t="s">
        <v>3341</v>
      </c>
      <c r="G1642" s="842" t="s">
        <v>3342</v>
      </c>
      <c r="H1642" s="843" t="s">
        <v>3343</v>
      </c>
      <c r="I1642" s="842" t="s">
        <v>3342</v>
      </c>
      <c r="J1642" s="840">
        <v>3529074</v>
      </c>
      <c r="K1642" s="840">
        <v>4010762</v>
      </c>
      <c r="L1642" s="841">
        <v>51692281</v>
      </c>
      <c r="M1642" s="840">
        <v>170616782</v>
      </c>
      <c r="N1642" s="839">
        <f>Indicadores[[#This Row],[Ventas]]/Indicadores[[#This Row],[Activos totales]]</f>
        <v>3.3006239751733921</v>
      </c>
      <c r="O1642" s="837">
        <f>IF(Indicadores[[#This Row],[Ventas]]=0,0,Indicadores[[#This Row],[EBITDA]]/Indicadores[[#This Row],[Ventas]])</f>
        <v>2.3507429650150125E-2</v>
      </c>
      <c r="P1642" s="837">
        <f>IF(Indicadores[[#This Row],[Ventas]]=0,0,Indicadores[[#This Row],[UAI]]/Indicadores[[#This Row],[Ventas]])</f>
        <v>2.0684213819013419E-2</v>
      </c>
      <c r="Q1642" s="837">
        <f>IFERROR(Indicadores[[#This Row],[Ventas]]/Indicadores[[#This Row],[Activos totales]],0)</f>
        <v>3.3006239751733921</v>
      </c>
    </row>
    <row r="1643" spans="1:17" hidden="1" x14ac:dyDescent="0.3">
      <c r="A1643" s="13" t="str">
        <f>MID(Indicadores[[#This Row],[CIIU]],2,4)</f>
        <v>8110</v>
      </c>
      <c r="B1643" s="13" t="str">
        <f>Indicadores[[#This Row],[CIIU]]&amp;Indicadores[[#This Row],[Año]]</f>
        <v>N81102019</v>
      </c>
      <c r="C1643" s="845" t="s">
        <v>3303</v>
      </c>
      <c r="D1643" s="845" t="s">
        <v>3344</v>
      </c>
      <c r="E1643" s="843">
        <v>2019</v>
      </c>
      <c r="F1643" s="844" t="s">
        <v>3345</v>
      </c>
      <c r="G1643" s="842" t="s">
        <v>3346</v>
      </c>
      <c r="H1643" s="843" t="s">
        <v>3347</v>
      </c>
      <c r="I1643" s="842" t="s">
        <v>3346</v>
      </c>
      <c r="J1643" s="840">
        <v>10685654</v>
      </c>
      <c r="K1643" s="840">
        <v>10886464</v>
      </c>
      <c r="L1643" s="841">
        <v>66775050</v>
      </c>
      <c r="M1643" s="840">
        <v>81857020</v>
      </c>
      <c r="N1643" s="839">
        <f>Indicadores[[#This Row],[Ventas]]/Indicadores[[#This Row],[Activos totales]]</f>
        <v>1.2258623542775333</v>
      </c>
      <c r="O1643" s="837">
        <f>IF(Indicadores[[#This Row],[Ventas]]=0,0,Indicadores[[#This Row],[EBITDA]]/Indicadores[[#This Row],[Ventas]])</f>
        <v>0.13299365161350854</v>
      </c>
      <c r="P1643" s="837">
        <f>IF(Indicadores[[#This Row],[Ventas]]=0,0,Indicadores[[#This Row],[UAI]]/Indicadores[[#This Row],[Ventas]])</f>
        <v>0.13054047166632746</v>
      </c>
      <c r="Q1643" s="837">
        <f>IFERROR(Indicadores[[#This Row],[Ventas]]/Indicadores[[#This Row],[Activos totales]],0)</f>
        <v>1.2258623542775333</v>
      </c>
    </row>
    <row r="1644" spans="1:17" hidden="1" x14ac:dyDescent="0.3">
      <c r="A1644" s="13" t="str">
        <f>MID(Indicadores[[#This Row],[CIIU]],2,4)</f>
        <v>8121</v>
      </c>
      <c r="B1644" s="13" t="str">
        <f>Indicadores[[#This Row],[CIIU]]&amp;Indicadores[[#This Row],[Año]]</f>
        <v>N81212019</v>
      </c>
      <c r="C1644" s="845" t="s">
        <v>3303</v>
      </c>
      <c r="D1644" s="845" t="s">
        <v>3344</v>
      </c>
      <c r="E1644" s="843">
        <v>2019</v>
      </c>
      <c r="F1644" s="844" t="s">
        <v>3348</v>
      </c>
      <c r="G1644" s="842" t="s">
        <v>3349</v>
      </c>
      <c r="H1644" s="843" t="s">
        <v>3350</v>
      </c>
      <c r="I1644" s="842" t="s">
        <v>3349</v>
      </c>
      <c r="J1644" s="840">
        <v>40739601</v>
      </c>
      <c r="K1644" s="840">
        <v>45943072</v>
      </c>
      <c r="L1644" s="841">
        <v>374996870</v>
      </c>
      <c r="M1644" s="840">
        <v>1132752641</v>
      </c>
      <c r="N1644" s="839">
        <f>Indicadores[[#This Row],[Ventas]]/Indicadores[[#This Row],[Activos totales]]</f>
        <v>3.0206989221003364</v>
      </c>
      <c r="O1644" s="837">
        <f>IF(Indicadores[[#This Row],[Ventas]]=0,0,Indicadores[[#This Row],[EBITDA]]/Indicadores[[#This Row],[Ventas]])</f>
        <v>4.0558786037736549E-2</v>
      </c>
      <c r="P1644" s="837">
        <f>IF(Indicadores[[#This Row],[Ventas]]=0,0,Indicadores[[#This Row],[UAI]]/Indicadores[[#This Row],[Ventas]])</f>
        <v>3.5965134421611117E-2</v>
      </c>
      <c r="Q1644" s="837">
        <f>IFERROR(Indicadores[[#This Row],[Ventas]]/Indicadores[[#This Row],[Activos totales]],0)</f>
        <v>3.0206989221003364</v>
      </c>
    </row>
    <row r="1645" spans="1:17" hidden="1" x14ac:dyDescent="0.3">
      <c r="A1645" s="13" t="str">
        <f>MID(Indicadores[[#This Row],[CIIU]],2,4)</f>
        <v>8129</v>
      </c>
      <c r="B1645" s="13" t="str">
        <f>Indicadores[[#This Row],[CIIU]]&amp;Indicadores[[#This Row],[Año]]</f>
        <v>N81292019</v>
      </c>
      <c r="C1645" s="845" t="s">
        <v>3303</v>
      </c>
      <c r="D1645" s="845" t="s">
        <v>3344</v>
      </c>
      <c r="E1645" s="843">
        <v>2019</v>
      </c>
      <c r="F1645" s="844" t="s">
        <v>3351</v>
      </c>
      <c r="G1645" s="842" t="s">
        <v>3352</v>
      </c>
      <c r="H1645" s="843" t="s">
        <v>3353</v>
      </c>
      <c r="I1645" s="842" t="s">
        <v>3352</v>
      </c>
      <c r="J1645" s="840">
        <v>20872832</v>
      </c>
      <c r="K1645" s="840">
        <v>26989964</v>
      </c>
      <c r="L1645" s="841">
        <v>297384019</v>
      </c>
      <c r="M1645" s="840">
        <v>963944638</v>
      </c>
      <c r="N1645" s="839">
        <f>Indicadores[[#This Row],[Ventas]]/Indicadores[[#This Row],[Activos totales]]</f>
        <v>3.2414137156442155</v>
      </c>
      <c r="O1645" s="837">
        <f>IF(Indicadores[[#This Row],[Ventas]]=0,0,Indicadores[[#This Row],[EBITDA]]/Indicadores[[#This Row],[Ventas]])</f>
        <v>2.7999495962754656E-2</v>
      </c>
      <c r="P1645" s="837">
        <f>IF(Indicadores[[#This Row],[Ventas]]=0,0,Indicadores[[#This Row],[UAI]]/Indicadores[[#This Row],[Ventas]])</f>
        <v>2.1653558904904661E-2</v>
      </c>
      <c r="Q1645" s="837">
        <f>IFERROR(Indicadores[[#This Row],[Ventas]]/Indicadores[[#This Row],[Activos totales]],0)</f>
        <v>3.2414137156442155</v>
      </c>
    </row>
    <row r="1646" spans="1:17" hidden="1" x14ac:dyDescent="0.3">
      <c r="A1646" s="13" t="str">
        <f>MID(Indicadores[[#This Row],[CIIU]],2,4)</f>
        <v>8130</v>
      </c>
      <c r="B1646" s="13" t="str">
        <f>Indicadores[[#This Row],[CIIU]]&amp;Indicadores[[#This Row],[Año]]</f>
        <v>N81302019</v>
      </c>
      <c r="C1646" s="845" t="s">
        <v>3303</v>
      </c>
      <c r="D1646" s="845" t="s">
        <v>3344</v>
      </c>
      <c r="E1646" s="843">
        <v>2019</v>
      </c>
      <c r="F1646" s="844" t="s">
        <v>3354</v>
      </c>
      <c r="G1646" s="842" t="s">
        <v>3355</v>
      </c>
      <c r="H1646" s="843" t="s">
        <v>3356</v>
      </c>
      <c r="I1646" s="842" t="s">
        <v>3355</v>
      </c>
      <c r="J1646" s="840">
        <v>2282782</v>
      </c>
      <c r="K1646" s="840">
        <v>2558283</v>
      </c>
      <c r="L1646" s="841">
        <v>113370014</v>
      </c>
      <c r="M1646" s="840">
        <v>28811043</v>
      </c>
      <c r="N1646" s="839">
        <f>Indicadores[[#This Row],[Ventas]]/Indicadores[[#This Row],[Activos totales]]</f>
        <v>0.25413283445479684</v>
      </c>
      <c r="O1646" s="837">
        <f>IF(Indicadores[[#This Row],[Ventas]]=0,0,Indicadores[[#This Row],[EBITDA]]/Indicadores[[#This Row],[Ventas]])</f>
        <v>8.8795223414855198E-2</v>
      </c>
      <c r="P1646" s="837">
        <f>IF(Indicadores[[#This Row],[Ventas]]=0,0,Indicadores[[#This Row],[UAI]]/Indicadores[[#This Row],[Ventas]])</f>
        <v>7.9232883030301959E-2</v>
      </c>
      <c r="Q1646" s="837">
        <f>IFERROR(Indicadores[[#This Row],[Ventas]]/Indicadores[[#This Row],[Activos totales]],0)</f>
        <v>0.25413283445479684</v>
      </c>
    </row>
    <row r="1647" spans="1:17" hidden="1" x14ac:dyDescent="0.3">
      <c r="A1647" s="13" t="str">
        <f>MID(Indicadores[[#This Row],[CIIU]],2,4)</f>
        <v>8211</v>
      </c>
      <c r="B1647" s="13" t="str">
        <f>Indicadores[[#This Row],[CIIU]]&amp;Indicadores[[#This Row],[Año]]</f>
        <v>N82112019</v>
      </c>
      <c r="C1647" s="845" t="s">
        <v>3303</v>
      </c>
      <c r="D1647" s="845" t="s">
        <v>3357</v>
      </c>
      <c r="E1647" s="843">
        <v>2019</v>
      </c>
      <c r="F1647" s="844" t="s">
        <v>3358</v>
      </c>
      <c r="G1647" s="842" t="s">
        <v>3359</v>
      </c>
      <c r="H1647" s="843" t="s">
        <v>3360</v>
      </c>
      <c r="I1647" s="842" t="s">
        <v>3359</v>
      </c>
      <c r="J1647" s="840">
        <v>145740983</v>
      </c>
      <c r="K1647" s="840">
        <v>152076122</v>
      </c>
      <c r="L1647" s="841">
        <v>2072289531</v>
      </c>
      <c r="M1647" s="840">
        <v>165079228</v>
      </c>
      <c r="N1647" s="839">
        <f>Indicadores[[#This Row],[Ventas]]/Indicadores[[#This Row],[Activos totales]]</f>
        <v>7.9660310748343982E-2</v>
      </c>
      <c r="O1647" s="837">
        <f>IF(Indicadores[[#This Row],[Ventas]]=0,0,Indicadores[[#This Row],[EBITDA]]/Indicadores[[#This Row],[Ventas]])</f>
        <v>0.92123111939922564</v>
      </c>
      <c r="P1647" s="837">
        <f>IF(Indicadores[[#This Row],[Ventas]]=0,0,Indicadores[[#This Row],[UAI]]/Indicadores[[#This Row],[Ventas]])</f>
        <v>0.88285476474362967</v>
      </c>
      <c r="Q1647" s="837">
        <f>IFERROR(Indicadores[[#This Row],[Ventas]]/Indicadores[[#This Row],[Activos totales]],0)</f>
        <v>7.9660310748343982E-2</v>
      </c>
    </row>
    <row r="1648" spans="1:17" hidden="1" x14ac:dyDescent="0.3">
      <c r="A1648" s="13" t="str">
        <f>MID(Indicadores[[#This Row],[CIIU]],2,4)</f>
        <v>8219</v>
      </c>
      <c r="B1648" s="13" t="str">
        <f>Indicadores[[#This Row],[CIIU]]&amp;Indicadores[[#This Row],[Año]]</f>
        <v>N82192019</v>
      </c>
      <c r="C1648" s="845" t="s">
        <v>3303</v>
      </c>
      <c r="D1648" s="845" t="s">
        <v>3357</v>
      </c>
      <c r="E1648" s="843">
        <v>2019</v>
      </c>
      <c r="F1648" s="844" t="s">
        <v>3361</v>
      </c>
      <c r="G1648" s="842" t="s">
        <v>3362</v>
      </c>
      <c r="H1648" s="843" t="s">
        <v>3363</v>
      </c>
      <c r="I1648" s="842" t="s">
        <v>3362</v>
      </c>
      <c r="J1648" s="840">
        <v>3621963</v>
      </c>
      <c r="K1648" s="840">
        <v>6729469</v>
      </c>
      <c r="L1648" s="841">
        <v>56784958</v>
      </c>
      <c r="M1648" s="840">
        <v>77744375</v>
      </c>
      <c r="N1648" s="839">
        <f>Indicadores[[#This Row],[Ventas]]/Indicadores[[#This Row],[Activos totales]]</f>
        <v>1.369101567355214</v>
      </c>
      <c r="O1648" s="837">
        <f>IF(Indicadores[[#This Row],[Ventas]]=0,0,Indicadores[[#This Row],[EBITDA]]/Indicadores[[#This Row],[Ventas]])</f>
        <v>8.6558918249712596E-2</v>
      </c>
      <c r="P1648" s="837">
        <f>IF(Indicadores[[#This Row],[Ventas]]=0,0,Indicadores[[#This Row],[UAI]]/Indicadores[[#This Row],[Ventas]])</f>
        <v>4.6588103640938655E-2</v>
      </c>
      <c r="Q1648" s="837">
        <f>IFERROR(Indicadores[[#This Row],[Ventas]]/Indicadores[[#This Row],[Activos totales]],0)</f>
        <v>1.369101567355214</v>
      </c>
    </row>
    <row r="1649" spans="1:17" hidden="1" x14ac:dyDescent="0.3">
      <c r="A1649" s="13" t="str">
        <f>MID(Indicadores[[#This Row],[CIIU]],2,4)</f>
        <v>8220</v>
      </c>
      <c r="B1649" s="13" t="str">
        <f>Indicadores[[#This Row],[CIIU]]&amp;Indicadores[[#This Row],[Año]]</f>
        <v>N82202019</v>
      </c>
      <c r="C1649" s="845" t="s">
        <v>3303</v>
      </c>
      <c r="D1649" s="845" t="s">
        <v>3357</v>
      </c>
      <c r="E1649" s="843">
        <v>2019</v>
      </c>
      <c r="F1649" s="844" t="s">
        <v>3364</v>
      </c>
      <c r="G1649" s="842" t="s">
        <v>3365</v>
      </c>
      <c r="H1649" s="843" t="s">
        <v>3366</v>
      </c>
      <c r="I1649" s="842" t="s">
        <v>3365</v>
      </c>
      <c r="J1649" s="840">
        <v>366209520</v>
      </c>
      <c r="K1649" s="840">
        <v>654269604</v>
      </c>
      <c r="L1649" s="841">
        <v>3893380232</v>
      </c>
      <c r="M1649" s="840">
        <v>4884417934</v>
      </c>
      <c r="N1649" s="839">
        <f>Indicadores[[#This Row],[Ventas]]/Indicadores[[#This Row],[Activos totales]]</f>
        <v>1.2545442887531464</v>
      </c>
      <c r="O1649" s="837">
        <f>IF(Indicadores[[#This Row],[Ventas]]=0,0,Indicadores[[#This Row],[EBITDA]]/Indicadores[[#This Row],[Ventas]])</f>
        <v>0.13395037296986553</v>
      </c>
      <c r="P1649" s="837">
        <f>IF(Indicadores[[#This Row],[Ventas]]=0,0,Indicadores[[#This Row],[UAI]]/Indicadores[[#This Row],[Ventas]])</f>
        <v>7.4975058430370584E-2</v>
      </c>
      <c r="Q1649" s="837">
        <f>IFERROR(Indicadores[[#This Row],[Ventas]]/Indicadores[[#This Row],[Activos totales]],0)</f>
        <v>1.2545442887531464</v>
      </c>
    </row>
    <row r="1650" spans="1:17" hidden="1" x14ac:dyDescent="0.3">
      <c r="A1650" s="13" t="str">
        <f>MID(Indicadores[[#This Row],[CIIU]],2,4)</f>
        <v>8230</v>
      </c>
      <c r="B1650" s="13" t="str">
        <f>Indicadores[[#This Row],[CIIU]]&amp;Indicadores[[#This Row],[Año]]</f>
        <v>N82302019</v>
      </c>
      <c r="C1650" s="845" t="s">
        <v>3303</v>
      </c>
      <c r="D1650" s="845" t="s">
        <v>3357</v>
      </c>
      <c r="E1650" s="843">
        <v>2019</v>
      </c>
      <c r="F1650" s="844" t="s">
        <v>3367</v>
      </c>
      <c r="G1650" s="842" t="s">
        <v>3368</v>
      </c>
      <c r="H1650" s="843" t="s">
        <v>3369</v>
      </c>
      <c r="I1650" s="842" t="s">
        <v>3368</v>
      </c>
      <c r="J1650" s="840">
        <v>18661012</v>
      </c>
      <c r="K1650" s="840">
        <v>25244535</v>
      </c>
      <c r="L1650" s="841">
        <v>681687464</v>
      </c>
      <c r="M1650" s="840">
        <v>257170101</v>
      </c>
      <c r="N1650" s="839">
        <f>Indicadores[[#This Row],[Ventas]]/Indicadores[[#This Row],[Activos totales]]</f>
        <v>0.37725514195461279</v>
      </c>
      <c r="O1650" s="837">
        <f>IF(Indicadores[[#This Row],[Ventas]]=0,0,Indicadores[[#This Row],[EBITDA]]/Indicadores[[#This Row],[Ventas]])</f>
        <v>9.816279148251375E-2</v>
      </c>
      <c r="P1650" s="837">
        <f>IF(Indicadores[[#This Row],[Ventas]]=0,0,Indicadores[[#This Row],[UAI]]/Indicadores[[#This Row],[Ventas]])</f>
        <v>7.2562914302390077E-2</v>
      </c>
      <c r="Q1650" s="837">
        <f>IFERROR(Indicadores[[#This Row],[Ventas]]/Indicadores[[#This Row],[Activos totales]],0)</f>
        <v>0.37725514195461279</v>
      </c>
    </row>
    <row r="1651" spans="1:17" hidden="1" x14ac:dyDescent="0.3">
      <c r="A1651" s="13" t="str">
        <f>MID(Indicadores[[#This Row],[CIIU]],2,4)</f>
        <v>8291</v>
      </c>
      <c r="B1651" s="13" t="str">
        <f>Indicadores[[#This Row],[CIIU]]&amp;Indicadores[[#This Row],[Año]]</f>
        <v>N82912019</v>
      </c>
      <c r="C1651" s="845" t="s">
        <v>3303</v>
      </c>
      <c r="D1651" s="845" t="s">
        <v>3357</v>
      </c>
      <c r="E1651" s="843">
        <v>2019</v>
      </c>
      <c r="F1651" s="844" t="s">
        <v>3370</v>
      </c>
      <c r="G1651" s="842" t="s">
        <v>3371</v>
      </c>
      <c r="H1651" s="843" t="s">
        <v>3372</v>
      </c>
      <c r="I1651" s="842" t="s">
        <v>3371</v>
      </c>
      <c r="J1651" s="840">
        <v>119733257</v>
      </c>
      <c r="K1651" s="840">
        <v>134578728</v>
      </c>
      <c r="L1651" s="841">
        <v>472888265</v>
      </c>
      <c r="M1651" s="840">
        <v>370338999</v>
      </c>
      <c r="N1651" s="839">
        <f>Indicadores[[#This Row],[Ventas]]/Indicadores[[#This Row],[Activos totales]]</f>
        <v>0.78314271342724062</v>
      </c>
      <c r="O1651" s="837">
        <f>IF(Indicadores[[#This Row],[Ventas]]=0,0,Indicadores[[#This Row],[EBITDA]]/Indicadores[[#This Row],[Ventas]])</f>
        <v>0.36339334599756801</v>
      </c>
      <c r="P1651" s="837">
        <f>IF(Indicadores[[#This Row],[Ventas]]=0,0,Indicadores[[#This Row],[UAI]]/Indicadores[[#This Row],[Ventas]])</f>
        <v>0.32330717889098143</v>
      </c>
      <c r="Q1651" s="837">
        <f>IFERROR(Indicadores[[#This Row],[Ventas]]/Indicadores[[#This Row],[Activos totales]],0)</f>
        <v>0.78314271342724062</v>
      </c>
    </row>
    <row r="1652" spans="1:17" hidden="1" x14ac:dyDescent="0.3">
      <c r="A1652" s="13" t="str">
        <f>MID(Indicadores[[#This Row],[CIIU]],2,4)</f>
        <v>8292</v>
      </c>
      <c r="B1652" s="13" t="str">
        <f>Indicadores[[#This Row],[CIIU]]&amp;Indicadores[[#This Row],[Año]]</f>
        <v>N82922019</v>
      </c>
      <c r="C1652" s="845" t="s">
        <v>3303</v>
      </c>
      <c r="D1652" s="845" t="s">
        <v>3357</v>
      </c>
      <c r="E1652" s="843">
        <v>2019</v>
      </c>
      <c r="F1652" s="844" t="s">
        <v>3373</v>
      </c>
      <c r="G1652" s="842" t="s">
        <v>3374</v>
      </c>
      <c r="H1652" s="843" t="s">
        <v>3375</v>
      </c>
      <c r="I1652" s="842" t="s">
        <v>3374</v>
      </c>
      <c r="J1652" s="840">
        <v>21355644</v>
      </c>
      <c r="K1652" s="840">
        <v>23881429</v>
      </c>
      <c r="L1652" s="841">
        <v>140051781</v>
      </c>
      <c r="M1652" s="840">
        <v>272009967</v>
      </c>
      <c r="N1652" s="839">
        <f>Indicadores[[#This Row],[Ventas]]/Indicadores[[#This Row],[Activos totales]]</f>
        <v>1.9422099816067315</v>
      </c>
      <c r="O1652" s="837">
        <f>IF(Indicadores[[#This Row],[Ventas]]=0,0,Indicadores[[#This Row],[EBITDA]]/Indicadores[[#This Row],[Ventas]])</f>
        <v>8.7796154175482838E-2</v>
      </c>
      <c r="P1652" s="837">
        <f>IF(Indicadores[[#This Row],[Ventas]]=0,0,Indicadores[[#This Row],[UAI]]/Indicadores[[#This Row],[Ventas]])</f>
        <v>7.8510520167814291E-2</v>
      </c>
      <c r="Q1652" s="837">
        <f>IFERROR(Indicadores[[#This Row],[Ventas]]/Indicadores[[#This Row],[Activos totales]],0)</f>
        <v>1.9422099816067315</v>
      </c>
    </row>
    <row r="1653" spans="1:17" hidden="1" x14ac:dyDescent="0.3">
      <c r="A1653" s="13" t="str">
        <f>MID(Indicadores[[#This Row],[CIIU]],2,4)</f>
        <v>8299</v>
      </c>
      <c r="B1653" s="13" t="str">
        <f>Indicadores[[#This Row],[CIIU]]&amp;Indicadores[[#This Row],[Año]]</f>
        <v>N82992019</v>
      </c>
      <c r="C1653" s="845" t="s">
        <v>3303</v>
      </c>
      <c r="D1653" s="845" t="s">
        <v>3357</v>
      </c>
      <c r="E1653" s="843">
        <v>2019</v>
      </c>
      <c r="F1653" s="844" t="s">
        <v>3376</v>
      </c>
      <c r="G1653" s="842" t="s">
        <v>3377</v>
      </c>
      <c r="H1653" s="843" t="s">
        <v>3378</v>
      </c>
      <c r="I1653" s="842" t="s">
        <v>3377</v>
      </c>
      <c r="J1653" s="840">
        <v>1218919888</v>
      </c>
      <c r="K1653" s="840">
        <v>1330152060</v>
      </c>
      <c r="L1653" s="841">
        <v>14194617433</v>
      </c>
      <c r="M1653" s="840">
        <v>4423810992</v>
      </c>
      <c r="N1653" s="839">
        <f>Indicadores[[#This Row],[Ventas]]/Indicadores[[#This Row],[Activos totales]]</f>
        <v>0.31165411909696233</v>
      </c>
      <c r="O1653" s="837">
        <f>IF(Indicadores[[#This Row],[Ventas]]=0,0,Indicadores[[#This Row],[EBITDA]]/Indicadores[[#This Row],[Ventas]])</f>
        <v>0.30068012905737634</v>
      </c>
      <c r="P1653" s="837">
        <f>IF(Indicadores[[#This Row],[Ventas]]=0,0,Indicadores[[#This Row],[UAI]]/Indicadores[[#This Row],[Ventas]])</f>
        <v>0.27553615880160554</v>
      </c>
      <c r="Q1653" s="837">
        <f>IFERROR(Indicadores[[#This Row],[Ventas]]/Indicadores[[#This Row],[Activos totales]],0)</f>
        <v>0.31165411909696233</v>
      </c>
    </row>
    <row r="1654" spans="1:17" hidden="1" x14ac:dyDescent="0.3">
      <c r="A1654" s="13" t="str">
        <f>MID(Indicadores[[#This Row],[CIIU]],2,4)</f>
        <v>8414</v>
      </c>
      <c r="B1654" s="13" t="str">
        <f>Indicadores[[#This Row],[CIIU]]&amp;Indicadores[[#This Row],[Año]]</f>
        <v>O84142019</v>
      </c>
      <c r="C1654" s="845" t="s">
        <v>3379</v>
      </c>
      <c r="D1654" s="845" t="s">
        <v>3380</v>
      </c>
      <c r="E1654" s="843">
        <v>2019</v>
      </c>
      <c r="F1654" s="844" t="s">
        <v>3387</v>
      </c>
      <c r="G1654" s="842" t="s">
        <v>3388</v>
      </c>
      <c r="H1654" s="843" t="s">
        <v>3389</v>
      </c>
      <c r="I1654" s="842" t="s">
        <v>3388</v>
      </c>
      <c r="J1654" s="840">
        <v>-400586</v>
      </c>
      <c r="K1654" s="840">
        <v>-400586</v>
      </c>
      <c r="L1654" s="841">
        <v>9798875</v>
      </c>
      <c r="M1654" s="840">
        <v>0</v>
      </c>
      <c r="N1654" s="839">
        <f>Indicadores[[#This Row],[Ventas]]/Indicadores[[#This Row],[Activos totales]]</f>
        <v>0</v>
      </c>
      <c r="O1654" s="837">
        <f>IF(Indicadores[[#This Row],[Ventas]]=0,0,Indicadores[[#This Row],[EBITDA]]/Indicadores[[#This Row],[Ventas]])</f>
        <v>0</v>
      </c>
      <c r="P1654" s="837">
        <f>IF(Indicadores[[#This Row],[Ventas]]=0,0,Indicadores[[#This Row],[UAI]]/Indicadores[[#This Row],[Ventas]])</f>
        <v>0</v>
      </c>
      <c r="Q1654" s="837">
        <f>IFERROR(Indicadores[[#This Row],[Ventas]]/Indicadores[[#This Row],[Activos totales]],0)</f>
        <v>0</v>
      </c>
    </row>
    <row r="1655" spans="1:17" hidden="1" x14ac:dyDescent="0.3">
      <c r="A1655" s="13" t="str">
        <f>MID(Indicadores[[#This Row],[CIIU]],2,4)</f>
        <v>8430</v>
      </c>
      <c r="B1655" s="13" t="str">
        <f>Indicadores[[#This Row],[CIIU]]&amp;Indicadores[[#This Row],[Año]]</f>
        <v>O84302019</v>
      </c>
      <c r="C1655" s="845" t="s">
        <v>3379</v>
      </c>
      <c r="D1655" s="845" t="s">
        <v>3380</v>
      </c>
      <c r="E1655" s="843">
        <v>2019</v>
      </c>
      <c r="F1655" s="844" t="s">
        <v>3396</v>
      </c>
      <c r="G1655" s="842" t="s">
        <v>3397</v>
      </c>
      <c r="H1655" s="843" t="s">
        <v>3398</v>
      </c>
      <c r="I1655" s="842" t="s">
        <v>3397</v>
      </c>
      <c r="J1655" s="840">
        <v>968845</v>
      </c>
      <c r="K1655" s="840">
        <v>1956802</v>
      </c>
      <c r="L1655" s="841">
        <v>65039972</v>
      </c>
      <c r="M1655" s="840">
        <v>29642550</v>
      </c>
      <c r="N1655" s="839">
        <f>Indicadores[[#This Row],[Ventas]]/Indicadores[[#This Row],[Activos totales]]</f>
        <v>0.45575896004383276</v>
      </c>
      <c r="O1655" s="837">
        <f>IF(Indicadores[[#This Row],[Ventas]]=0,0,Indicadores[[#This Row],[EBITDA]]/Indicadores[[#This Row],[Ventas]])</f>
        <v>6.6013281583399544E-2</v>
      </c>
      <c r="P1655" s="837">
        <f>IF(Indicadores[[#This Row],[Ventas]]=0,0,Indicadores[[#This Row],[UAI]]/Indicadores[[#This Row],[Ventas]])</f>
        <v>3.26842663670973E-2</v>
      </c>
      <c r="Q1655" s="837">
        <f>IFERROR(Indicadores[[#This Row],[Ventas]]/Indicadores[[#This Row],[Activos totales]],0)</f>
        <v>0.45575896004383276</v>
      </c>
    </row>
    <row r="1656" spans="1:17" hidden="1" x14ac:dyDescent="0.3">
      <c r="A1656" s="13" t="str">
        <f>MID(Indicadores[[#This Row],[CIIU]],2,4)</f>
        <v>8511</v>
      </c>
      <c r="B1656" s="13" t="str">
        <f>Indicadores[[#This Row],[CIIU]]&amp;Indicadores[[#This Row],[Año]]</f>
        <v>P85112019</v>
      </c>
      <c r="C1656" s="845" t="s">
        <v>3399</v>
      </c>
      <c r="D1656" s="845" t="s">
        <v>3400</v>
      </c>
      <c r="E1656" s="843">
        <v>2019</v>
      </c>
      <c r="F1656" s="844" t="s">
        <v>3401</v>
      </c>
      <c r="G1656" s="842" t="s">
        <v>3402</v>
      </c>
      <c r="H1656" s="843" t="s">
        <v>3403</v>
      </c>
      <c r="I1656" s="842" t="s">
        <v>3402</v>
      </c>
      <c r="J1656" s="840">
        <v>-138900</v>
      </c>
      <c r="K1656" s="840">
        <v>876335</v>
      </c>
      <c r="L1656" s="841">
        <v>16405577</v>
      </c>
      <c r="M1656" s="840">
        <v>15059983</v>
      </c>
      <c r="N1656" s="839">
        <f>Indicadores[[#This Row],[Ventas]]/Indicadores[[#This Row],[Activos totales]]</f>
        <v>0.91797947734480778</v>
      </c>
      <c r="O1656" s="837">
        <f>IF(Indicadores[[#This Row],[Ventas]]=0,0,Indicadores[[#This Row],[EBITDA]]/Indicadores[[#This Row],[Ventas]])</f>
        <v>5.818964071871794E-2</v>
      </c>
      <c r="P1656" s="837">
        <f>IF(Indicadores[[#This Row],[Ventas]]=0,0,Indicadores[[#This Row],[UAI]]/Indicadores[[#This Row],[Ventas]])</f>
        <v>-9.2231179809432722E-3</v>
      </c>
      <c r="Q1656" s="837">
        <f>IFERROR(Indicadores[[#This Row],[Ventas]]/Indicadores[[#This Row],[Activos totales]],0)</f>
        <v>0.91797947734480778</v>
      </c>
    </row>
    <row r="1657" spans="1:17" hidden="1" x14ac:dyDescent="0.3">
      <c r="A1657" s="13" t="str">
        <f>MID(Indicadores[[#This Row],[CIIU]],2,4)</f>
        <v>8512</v>
      </c>
      <c r="B1657" s="13" t="str">
        <f>Indicadores[[#This Row],[CIIU]]&amp;Indicadores[[#This Row],[Año]]</f>
        <v>P85122019</v>
      </c>
      <c r="C1657" s="845" t="s">
        <v>3399</v>
      </c>
      <c r="D1657" s="845" t="s">
        <v>3400</v>
      </c>
      <c r="E1657" s="843">
        <v>2019</v>
      </c>
      <c r="F1657" s="844" t="s">
        <v>3404</v>
      </c>
      <c r="G1657" s="842" t="s">
        <v>3405</v>
      </c>
      <c r="H1657" s="843" t="s">
        <v>3406</v>
      </c>
      <c r="I1657" s="842" t="s">
        <v>3405</v>
      </c>
      <c r="J1657" s="840">
        <v>12235886</v>
      </c>
      <c r="K1657" s="840">
        <v>15443660</v>
      </c>
      <c r="L1657" s="841">
        <v>117067228</v>
      </c>
      <c r="M1657" s="840">
        <v>131232497</v>
      </c>
      <c r="N1657" s="839">
        <f>Indicadores[[#This Row],[Ventas]]/Indicadores[[#This Row],[Activos totales]]</f>
        <v>1.1210011481607816</v>
      </c>
      <c r="O1657" s="837">
        <f>IF(Indicadores[[#This Row],[Ventas]]=0,0,Indicadores[[#This Row],[EBITDA]]/Indicadores[[#This Row],[Ventas]])</f>
        <v>0.11768167453218542</v>
      </c>
      <c r="P1657" s="837">
        <f>IF(Indicadores[[#This Row],[Ventas]]=0,0,Indicadores[[#This Row],[UAI]]/Indicadores[[#This Row],[Ventas]])</f>
        <v>9.3238231990663112E-2</v>
      </c>
      <c r="Q1657" s="837">
        <f>IFERROR(Indicadores[[#This Row],[Ventas]]/Indicadores[[#This Row],[Activos totales]],0)</f>
        <v>1.1210011481607816</v>
      </c>
    </row>
    <row r="1658" spans="1:17" hidden="1" x14ac:dyDescent="0.3">
      <c r="A1658" s="13" t="str">
        <f>MID(Indicadores[[#This Row],[CIIU]],2,4)</f>
        <v>8513</v>
      </c>
      <c r="B1658" s="13" t="str">
        <f>Indicadores[[#This Row],[CIIU]]&amp;Indicadores[[#This Row],[Año]]</f>
        <v>P85132019</v>
      </c>
      <c r="C1658" s="845" t="s">
        <v>3399</v>
      </c>
      <c r="D1658" s="845" t="s">
        <v>3400</v>
      </c>
      <c r="E1658" s="843">
        <v>2019</v>
      </c>
      <c r="F1658" s="844" t="s">
        <v>3407</v>
      </c>
      <c r="G1658" s="842" t="s">
        <v>3408</v>
      </c>
      <c r="H1658" s="843" t="s">
        <v>3409</v>
      </c>
      <c r="I1658" s="842" t="s">
        <v>3408</v>
      </c>
      <c r="J1658" s="840">
        <v>4530515</v>
      </c>
      <c r="K1658" s="840">
        <v>7079524</v>
      </c>
      <c r="L1658" s="841">
        <v>102169124</v>
      </c>
      <c r="M1658" s="840">
        <v>48808670</v>
      </c>
      <c r="N1658" s="839">
        <f>Indicadores[[#This Row],[Ventas]]/Indicadores[[#This Row],[Activos totales]]</f>
        <v>0.47772426824370151</v>
      </c>
      <c r="O1658" s="837">
        <f>IF(Indicadores[[#This Row],[Ventas]]=0,0,Indicadores[[#This Row],[EBITDA]]/Indicadores[[#This Row],[Ventas]])</f>
        <v>0.14504644359291086</v>
      </c>
      <c r="P1658" s="837">
        <f>IF(Indicadores[[#This Row],[Ventas]]=0,0,Indicadores[[#This Row],[UAI]]/Indicadores[[#This Row],[Ventas]])</f>
        <v>9.2821931021681195E-2</v>
      </c>
      <c r="Q1658" s="837">
        <f>IFERROR(Indicadores[[#This Row],[Ventas]]/Indicadores[[#This Row],[Activos totales]],0)</f>
        <v>0.47772426824370151</v>
      </c>
    </row>
    <row r="1659" spans="1:17" hidden="1" x14ac:dyDescent="0.3">
      <c r="A1659" s="13" t="str">
        <f>MID(Indicadores[[#This Row],[CIIU]],2,4)</f>
        <v>8521</v>
      </c>
      <c r="B1659" s="13" t="str">
        <f>Indicadores[[#This Row],[CIIU]]&amp;Indicadores[[#This Row],[Año]]</f>
        <v>P85212019</v>
      </c>
      <c r="C1659" s="845" t="s">
        <v>3399</v>
      </c>
      <c r="D1659" s="845" t="s">
        <v>3400</v>
      </c>
      <c r="E1659" s="843">
        <v>2019</v>
      </c>
      <c r="F1659" s="844" t="s">
        <v>3410</v>
      </c>
      <c r="G1659" s="842" t="s">
        <v>3411</v>
      </c>
      <c r="H1659" s="843" t="s">
        <v>3412</v>
      </c>
      <c r="I1659" s="842" t="s">
        <v>3413</v>
      </c>
      <c r="J1659" s="840">
        <v>5576442</v>
      </c>
      <c r="K1659" s="840">
        <v>7142661</v>
      </c>
      <c r="L1659" s="841">
        <v>140896222</v>
      </c>
      <c r="M1659" s="840">
        <v>89088920</v>
      </c>
      <c r="N1659" s="839">
        <f>Indicadores[[#This Row],[Ventas]]/Indicadores[[#This Row],[Activos totales]]</f>
        <v>0.63230169507312983</v>
      </c>
      <c r="O1659" s="837">
        <f>IF(Indicadores[[#This Row],[Ventas]]=0,0,Indicadores[[#This Row],[EBITDA]]/Indicadores[[#This Row],[Ventas]])</f>
        <v>8.0174515528979362E-2</v>
      </c>
      <c r="P1659" s="837">
        <f>IF(Indicadores[[#This Row],[Ventas]]=0,0,Indicadores[[#This Row],[UAI]]/Indicadores[[#This Row],[Ventas]])</f>
        <v>6.2594113835929319E-2</v>
      </c>
      <c r="Q1659" s="837">
        <f>IFERROR(Indicadores[[#This Row],[Ventas]]/Indicadores[[#This Row],[Activos totales]],0)</f>
        <v>0.63230169507312983</v>
      </c>
    </row>
    <row r="1660" spans="1:17" hidden="1" x14ac:dyDescent="0.3">
      <c r="A1660" s="13" t="str">
        <f>MID(Indicadores[[#This Row],[CIIU]],2,4)</f>
        <v>8522</v>
      </c>
      <c r="B1660" s="13" t="str">
        <f>Indicadores[[#This Row],[CIIU]]&amp;Indicadores[[#This Row],[Año]]</f>
        <v>P85222019</v>
      </c>
      <c r="C1660" s="845" t="s">
        <v>3399</v>
      </c>
      <c r="D1660" s="845" t="s">
        <v>3400</v>
      </c>
      <c r="E1660" s="843">
        <v>2019</v>
      </c>
      <c r="F1660" s="844" t="s">
        <v>3414</v>
      </c>
      <c r="G1660" s="842" t="s">
        <v>3415</v>
      </c>
      <c r="H1660" s="843" t="s">
        <v>3416</v>
      </c>
      <c r="I1660" s="842" t="s">
        <v>3415</v>
      </c>
      <c r="J1660" s="840">
        <v>1917048</v>
      </c>
      <c r="K1660" s="840">
        <v>3467604</v>
      </c>
      <c r="L1660" s="841">
        <v>64207859</v>
      </c>
      <c r="M1660" s="840">
        <v>62779212</v>
      </c>
      <c r="N1660" s="839">
        <f>Indicadores[[#This Row],[Ventas]]/Indicadores[[#This Row],[Activos totales]]</f>
        <v>0.97774965522522717</v>
      </c>
      <c r="O1660" s="837">
        <f>IF(Indicadores[[#This Row],[Ventas]]=0,0,Indicadores[[#This Row],[EBITDA]]/Indicadores[[#This Row],[Ventas]])</f>
        <v>5.5234908013818335E-2</v>
      </c>
      <c r="P1660" s="837">
        <f>IF(Indicadores[[#This Row],[Ventas]]=0,0,Indicadores[[#This Row],[UAI]]/Indicadores[[#This Row],[Ventas]])</f>
        <v>3.0536350153614545E-2</v>
      </c>
      <c r="Q1660" s="837">
        <f>IFERROR(Indicadores[[#This Row],[Ventas]]/Indicadores[[#This Row],[Activos totales]],0)</f>
        <v>0.97774965522522717</v>
      </c>
    </row>
    <row r="1661" spans="1:17" hidden="1" x14ac:dyDescent="0.3">
      <c r="A1661" s="13" t="str">
        <f>MID(Indicadores[[#This Row],[CIIU]],2,4)</f>
        <v>8523</v>
      </c>
      <c r="B1661" s="13" t="str">
        <f>Indicadores[[#This Row],[CIIU]]&amp;Indicadores[[#This Row],[Año]]</f>
        <v>P85232019</v>
      </c>
      <c r="C1661" s="845" t="s">
        <v>3399</v>
      </c>
      <c r="D1661" s="845" t="s">
        <v>3400</v>
      </c>
      <c r="E1661" s="843">
        <v>2019</v>
      </c>
      <c r="F1661" s="844" t="s">
        <v>3417</v>
      </c>
      <c r="G1661" s="842" t="s">
        <v>3418</v>
      </c>
      <c r="H1661" s="843" t="s">
        <v>3419</v>
      </c>
      <c r="I1661" s="842" t="s">
        <v>3418</v>
      </c>
      <c r="J1661" s="840">
        <v>8355741</v>
      </c>
      <c r="K1661" s="840">
        <v>16955874</v>
      </c>
      <c r="L1661" s="841">
        <v>232504262</v>
      </c>
      <c r="M1661" s="840">
        <v>168029963</v>
      </c>
      <c r="N1661" s="839">
        <f>Indicadores[[#This Row],[Ventas]]/Indicadores[[#This Row],[Activos totales]]</f>
        <v>0.72269627040213136</v>
      </c>
      <c r="O1661" s="837">
        <f>IF(Indicadores[[#This Row],[Ventas]]=0,0,Indicadores[[#This Row],[EBITDA]]/Indicadores[[#This Row],[Ventas]])</f>
        <v>0.10090982404132291</v>
      </c>
      <c r="P1661" s="837">
        <f>IF(Indicadores[[#This Row],[Ventas]]=0,0,Indicadores[[#This Row],[UAI]]/Indicadores[[#This Row],[Ventas]])</f>
        <v>4.9727684579684163E-2</v>
      </c>
      <c r="Q1661" s="837">
        <f>IFERROR(Indicadores[[#This Row],[Ventas]]/Indicadores[[#This Row],[Activos totales]],0)</f>
        <v>0.72269627040213136</v>
      </c>
    </row>
    <row r="1662" spans="1:17" hidden="1" x14ac:dyDescent="0.3">
      <c r="A1662" s="13" t="str">
        <f>MID(Indicadores[[#This Row],[CIIU]],2,4)</f>
        <v>8530</v>
      </c>
      <c r="B1662" s="13" t="str">
        <f>Indicadores[[#This Row],[CIIU]]&amp;Indicadores[[#This Row],[Año]]</f>
        <v>P85302019</v>
      </c>
      <c r="C1662" s="845" t="s">
        <v>3399</v>
      </c>
      <c r="D1662" s="845" t="s">
        <v>3400</v>
      </c>
      <c r="E1662" s="843">
        <v>2019</v>
      </c>
      <c r="F1662" s="844" t="s">
        <v>3420</v>
      </c>
      <c r="G1662" s="842" t="s">
        <v>3421</v>
      </c>
      <c r="H1662" s="843" t="s">
        <v>3422</v>
      </c>
      <c r="I1662" s="842" t="s">
        <v>3423</v>
      </c>
      <c r="J1662" s="840">
        <v>32522428</v>
      </c>
      <c r="K1662" s="840">
        <v>43402307</v>
      </c>
      <c r="L1662" s="841">
        <v>635160924</v>
      </c>
      <c r="M1662" s="840">
        <v>388016654</v>
      </c>
      <c r="N1662" s="839">
        <f>Indicadores[[#This Row],[Ventas]]/Indicadores[[#This Row],[Activos totales]]</f>
        <v>0.61089503358679542</v>
      </c>
      <c r="O1662" s="837">
        <f>IF(Indicadores[[#This Row],[Ventas]]=0,0,Indicadores[[#This Row],[EBITDA]]/Indicadores[[#This Row],[Ventas]])</f>
        <v>0.11185681478506848</v>
      </c>
      <c r="P1662" s="837">
        <f>IF(Indicadores[[#This Row],[Ventas]]=0,0,Indicadores[[#This Row],[UAI]]/Indicadores[[#This Row],[Ventas]])</f>
        <v>8.3817093067350662E-2</v>
      </c>
      <c r="Q1662" s="837">
        <f>IFERROR(Indicadores[[#This Row],[Ventas]]/Indicadores[[#This Row],[Activos totales]],0)</f>
        <v>0.61089503358679542</v>
      </c>
    </row>
    <row r="1663" spans="1:17" hidden="1" x14ac:dyDescent="0.3">
      <c r="A1663" s="13" t="str">
        <f>MID(Indicadores[[#This Row],[CIIU]],2,4)</f>
        <v>8542</v>
      </c>
      <c r="B1663" s="13" t="str">
        <f>Indicadores[[#This Row],[CIIU]]&amp;Indicadores[[#This Row],[Año]]</f>
        <v>P85422019</v>
      </c>
      <c r="C1663" s="845" t="s">
        <v>3399</v>
      </c>
      <c r="D1663" s="845" t="s">
        <v>3400</v>
      </c>
      <c r="E1663" s="843">
        <v>2019</v>
      </c>
      <c r="F1663" s="844" t="s">
        <v>3424</v>
      </c>
      <c r="G1663" s="842" t="s">
        <v>3425</v>
      </c>
      <c r="H1663" s="843" t="s">
        <v>3426</v>
      </c>
      <c r="I1663" s="842" t="s">
        <v>3425</v>
      </c>
      <c r="J1663" s="840">
        <v>84416</v>
      </c>
      <c r="K1663" s="840">
        <v>84416</v>
      </c>
      <c r="L1663" s="841">
        <v>6010371</v>
      </c>
      <c r="M1663" s="840">
        <v>11069650</v>
      </c>
      <c r="N1663" s="839">
        <f>Indicadores[[#This Row],[Ventas]]/Indicadores[[#This Row],[Activos totales]]</f>
        <v>1.8417581876393321</v>
      </c>
      <c r="O1663" s="837">
        <f>IF(Indicadores[[#This Row],[Ventas]]=0,0,Indicadores[[#This Row],[EBITDA]]/Indicadores[[#This Row],[Ventas]])</f>
        <v>7.6258960310398253E-3</v>
      </c>
      <c r="P1663" s="837">
        <f>IF(Indicadores[[#This Row],[Ventas]]=0,0,Indicadores[[#This Row],[UAI]]/Indicadores[[#This Row],[Ventas]])</f>
        <v>7.6258960310398253E-3</v>
      </c>
      <c r="Q1663" s="837">
        <f>IFERROR(Indicadores[[#This Row],[Ventas]]/Indicadores[[#This Row],[Activos totales]],0)</f>
        <v>1.8417581876393321</v>
      </c>
    </row>
    <row r="1664" spans="1:17" hidden="1" x14ac:dyDescent="0.3">
      <c r="A1664" s="13" t="str">
        <f>MID(Indicadores[[#This Row],[CIIU]],2,4)</f>
        <v>8551</v>
      </c>
      <c r="B1664" s="13" t="str">
        <f>Indicadores[[#This Row],[CIIU]]&amp;Indicadores[[#This Row],[Año]]</f>
        <v>P85512019</v>
      </c>
      <c r="C1664" s="845" t="s">
        <v>3399</v>
      </c>
      <c r="D1664" s="845" t="s">
        <v>3400</v>
      </c>
      <c r="E1664" s="843">
        <v>2019</v>
      </c>
      <c r="F1664" s="844" t="s">
        <v>3427</v>
      </c>
      <c r="G1664" s="842" t="s">
        <v>3428</v>
      </c>
      <c r="H1664" s="843" t="s">
        <v>3429</v>
      </c>
      <c r="I1664" s="842" t="s">
        <v>3430</v>
      </c>
      <c r="J1664" s="840">
        <v>6177559</v>
      </c>
      <c r="K1664" s="840">
        <v>8658872</v>
      </c>
      <c r="L1664" s="841">
        <v>86979330</v>
      </c>
      <c r="M1664" s="840">
        <v>103156623</v>
      </c>
      <c r="N1664" s="839">
        <f>Indicadores[[#This Row],[Ventas]]/Indicadores[[#This Row],[Activos totales]]</f>
        <v>1.1859900852305945</v>
      </c>
      <c r="O1664" s="837">
        <f>IF(Indicadores[[#This Row],[Ventas]]=0,0,Indicadores[[#This Row],[EBITDA]]/Indicadores[[#This Row],[Ventas]])</f>
        <v>8.3939079704072897E-2</v>
      </c>
      <c r="P1664" s="837">
        <f>IF(Indicadores[[#This Row],[Ventas]]=0,0,Indicadores[[#This Row],[UAI]]/Indicadores[[#This Row],[Ventas]])</f>
        <v>5.9885238779094192E-2</v>
      </c>
      <c r="Q1664" s="837">
        <f>IFERROR(Indicadores[[#This Row],[Ventas]]/Indicadores[[#This Row],[Activos totales]],0)</f>
        <v>1.1859900852305945</v>
      </c>
    </row>
    <row r="1665" spans="1:17" hidden="1" x14ac:dyDescent="0.3">
      <c r="A1665" s="13" t="str">
        <f>MID(Indicadores[[#This Row],[CIIU]],2,4)</f>
        <v>8559</v>
      </c>
      <c r="B1665" s="13" t="str">
        <f>Indicadores[[#This Row],[CIIU]]&amp;Indicadores[[#This Row],[Año]]</f>
        <v>P85592019</v>
      </c>
      <c r="C1665" s="845" t="s">
        <v>3399</v>
      </c>
      <c r="D1665" s="845" t="s">
        <v>3400</v>
      </c>
      <c r="E1665" s="843">
        <v>2019</v>
      </c>
      <c r="F1665" s="844" t="s">
        <v>3434</v>
      </c>
      <c r="G1665" s="842" t="s">
        <v>3435</v>
      </c>
      <c r="H1665" s="843" t="s">
        <v>3436</v>
      </c>
      <c r="I1665" s="842" t="s">
        <v>3435</v>
      </c>
      <c r="J1665" s="840">
        <v>2203044</v>
      </c>
      <c r="K1665" s="840">
        <v>6807138</v>
      </c>
      <c r="L1665" s="841">
        <v>83907505</v>
      </c>
      <c r="M1665" s="840">
        <v>100592930</v>
      </c>
      <c r="N1665" s="839">
        <f>Indicadores[[#This Row],[Ventas]]/Indicadores[[#This Row],[Activos totales]]</f>
        <v>1.1988549772752748</v>
      </c>
      <c r="O1665" s="837">
        <f>IF(Indicadores[[#This Row],[Ventas]]=0,0,Indicadores[[#This Row],[EBITDA]]/Indicadores[[#This Row],[Ventas]])</f>
        <v>6.7670143418627926E-2</v>
      </c>
      <c r="P1665" s="837">
        <f>IF(Indicadores[[#This Row],[Ventas]]=0,0,Indicadores[[#This Row],[UAI]]/Indicadores[[#This Row],[Ventas]])</f>
        <v>2.1900584862176695E-2</v>
      </c>
      <c r="Q1665" s="837">
        <f>IFERROR(Indicadores[[#This Row],[Ventas]]/Indicadores[[#This Row],[Activos totales]],0)</f>
        <v>1.1988549772752748</v>
      </c>
    </row>
    <row r="1666" spans="1:17" hidden="1" x14ac:dyDescent="0.3">
      <c r="A1666" s="13" t="str">
        <f>MID(Indicadores[[#This Row],[CIIU]],2,4)</f>
        <v>8560</v>
      </c>
      <c r="B1666" s="13" t="str">
        <f>Indicadores[[#This Row],[CIIU]]&amp;Indicadores[[#This Row],[Año]]</f>
        <v>P85602019</v>
      </c>
      <c r="C1666" s="845" t="s">
        <v>3399</v>
      </c>
      <c r="D1666" s="845" t="s">
        <v>3400</v>
      </c>
      <c r="E1666" s="843">
        <v>2019</v>
      </c>
      <c r="F1666" s="844" t="s">
        <v>3437</v>
      </c>
      <c r="G1666" s="842" t="s">
        <v>3438</v>
      </c>
      <c r="H1666" s="843" t="s">
        <v>3439</v>
      </c>
      <c r="I1666" s="842" t="s">
        <v>3438</v>
      </c>
      <c r="J1666" s="840">
        <v>1064364</v>
      </c>
      <c r="K1666" s="840">
        <v>2583981</v>
      </c>
      <c r="L1666" s="841">
        <v>67981254</v>
      </c>
      <c r="M1666" s="840">
        <v>42129217</v>
      </c>
      <c r="N1666" s="839">
        <f>Indicadores[[#This Row],[Ventas]]/Indicadores[[#This Row],[Activos totales]]</f>
        <v>0.61971815053602863</v>
      </c>
      <c r="O1666" s="837">
        <f>IF(Indicadores[[#This Row],[Ventas]]=0,0,Indicadores[[#This Row],[EBITDA]]/Indicadores[[#This Row],[Ventas]])</f>
        <v>6.1334655234632059E-2</v>
      </c>
      <c r="P1666" s="837">
        <f>IF(Indicadores[[#This Row],[Ventas]]=0,0,Indicadores[[#This Row],[UAI]]/Indicadores[[#This Row],[Ventas]])</f>
        <v>2.5264272060883542E-2</v>
      </c>
      <c r="Q1666" s="837">
        <f>IFERROR(Indicadores[[#This Row],[Ventas]]/Indicadores[[#This Row],[Activos totales]],0)</f>
        <v>0.61971815053602863</v>
      </c>
    </row>
    <row r="1667" spans="1:17" hidden="1" x14ac:dyDescent="0.3">
      <c r="A1667" s="13" t="str">
        <f>MID(Indicadores[[#This Row],[CIIU]],2,4)</f>
        <v>8610</v>
      </c>
      <c r="B1667" s="13" t="str">
        <f>Indicadores[[#This Row],[CIIU]]&amp;Indicadores[[#This Row],[Año]]</f>
        <v>Q86102019</v>
      </c>
      <c r="C1667" s="845" t="s">
        <v>3440</v>
      </c>
      <c r="D1667" s="845" t="s">
        <v>3441</v>
      </c>
      <c r="E1667" s="843">
        <v>2019</v>
      </c>
      <c r="F1667" s="844" t="s">
        <v>3442</v>
      </c>
      <c r="G1667" s="842" t="s">
        <v>3443</v>
      </c>
      <c r="H1667" s="843" t="s">
        <v>3444</v>
      </c>
      <c r="I1667" s="842" t="s">
        <v>3443</v>
      </c>
      <c r="J1667" s="840">
        <v>8463939</v>
      </c>
      <c r="K1667" s="840">
        <v>9371843</v>
      </c>
      <c r="L1667" s="841">
        <v>73904627</v>
      </c>
      <c r="M1667" s="840">
        <v>88062147</v>
      </c>
      <c r="N1667" s="839">
        <f>Indicadores[[#This Row],[Ventas]]/Indicadores[[#This Row],[Activos totales]]</f>
        <v>1.1915647311229918</v>
      </c>
      <c r="O1667" s="837">
        <f>IF(Indicadores[[#This Row],[Ventas]]=0,0,Indicadores[[#This Row],[EBITDA]]/Indicadores[[#This Row],[Ventas]])</f>
        <v>0.10642305825225906</v>
      </c>
      <c r="P1667" s="837">
        <f>IF(Indicadores[[#This Row],[Ventas]]=0,0,Indicadores[[#This Row],[UAI]]/Indicadores[[#This Row],[Ventas]])</f>
        <v>9.6113248294979678E-2</v>
      </c>
      <c r="Q1667" s="837">
        <f>IFERROR(Indicadores[[#This Row],[Ventas]]/Indicadores[[#This Row],[Activos totales]],0)</f>
        <v>1.1915647311229918</v>
      </c>
    </row>
    <row r="1668" spans="1:17" hidden="1" x14ac:dyDescent="0.3">
      <c r="A1668" s="13" t="str">
        <f>MID(Indicadores[[#This Row],[CIIU]],2,4)</f>
        <v>8621</v>
      </c>
      <c r="B1668" s="13" t="str">
        <f>Indicadores[[#This Row],[CIIU]]&amp;Indicadores[[#This Row],[Año]]</f>
        <v>Q86212019</v>
      </c>
      <c r="C1668" s="845" t="s">
        <v>3440</v>
      </c>
      <c r="D1668" s="845" t="s">
        <v>3441</v>
      </c>
      <c r="E1668" s="843">
        <v>2019</v>
      </c>
      <c r="F1668" s="844" t="s">
        <v>3445</v>
      </c>
      <c r="G1668" s="842" t="s">
        <v>3446</v>
      </c>
      <c r="H1668" s="843" t="s">
        <v>3447</v>
      </c>
      <c r="I1668" s="842" t="s">
        <v>3446</v>
      </c>
      <c r="J1668" s="840">
        <v>63786409</v>
      </c>
      <c r="K1668" s="840">
        <v>69300700</v>
      </c>
      <c r="L1668" s="841">
        <v>524840612</v>
      </c>
      <c r="M1668" s="840">
        <v>409886177</v>
      </c>
      <c r="N1668" s="839">
        <f>Indicadores[[#This Row],[Ventas]]/Indicadores[[#This Row],[Activos totales]]</f>
        <v>0.78097267556726346</v>
      </c>
      <c r="O1668" s="837">
        <f>IF(Indicadores[[#This Row],[Ventas]]=0,0,Indicadores[[#This Row],[EBITDA]]/Indicadores[[#This Row],[Ventas]])</f>
        <v>0.16907303512213831</v>
      </c>
      <c r="P1668" s="837">
        <f>IF(Indicadores[[#This Row],[Ventas]]=0,0,Indicadores[[#This Row],[UAI]]/Indicadores[[#This Row],[Ventas]])</f>
        <v>0.155619810033262</v>
      </c>
      <c r="Q1668" s="837">
        <f>IFERROR(Indicadores[[#This Row],[Ventas]]/Indicadores[[#This Row],[Activos totales]],0)</f>
        <v>0.78097267556726346</v>
      </c>
    </row>
    <row r="1669" spans="1:17" hidden="1" x14ac:dyDescent="0.3">
      <c r="A1669" s="13" t="str">
        <f>MID(Indicadores[[#This Row],[CIIU]],2,4)</f>
        <v>8622</v>
      </c>
      <c r="B1669" s="13" t="str">
        <f>Indicadores[[#This Row],[CIIU]]&amp;Indicadores[[#This Row],[Año]]</f>
        <v>Q86222019</v>
      </c>
      <c r="C1669" s="845" t="s">
        <v>3440</v>
      </c>
      <c r="D1669" s="845" t="s">
        <v>3441</v>
      </c>
      <c r="E1669" s="843">
        <v>2019</v>
      </c>
      <c r="F1669" s="844" t="s">
        <v>3448</v>
      </c>
      <c r="G1669" s="842" t="s">
        <v>3449</v>
      </c>
      <c r="H1669" s="843" t="s">
        <v>3450</v>
      </c>
      <c r="I1669" s="842" t="s">
        <v>3449</v>
      </c>
      <c r="J1669" s="840">
        <v>1642522</v>
      </c>
      <c r="K1669" s="840">
        <v>2305280</v>
      </c>
      <c r="L1669" s="841">
        <v>16390397</v>
      </c>
      <c r="M1669" s="840">
        <v>27968190</v>
      </c>
      <c r="N1669" s="839">
        <f>Indicadores[[#This Row],[Ventas]]/Indicadores[[#This Row],[Activos totales]]</f>
        <v>1.7063766057649488</v>
      </c>
      <c r="O1669" s="837">
        <f>IF(Indicadores[[#This Row],[Ventas]]=0,0,Indicadores[[#This Row],[EBITDA]]/Indicadores[[#This Row],[Ventas]])</f>
        <v>8.2425069337701148E-2</v>
      </c>
      <c r="P1669" s="837">
        <f>IF(Indicadores[[#This Row],[Ventas]]=0,0,Indicadores[[#This Row],[UAI]]/Indicadores[[#This Row],[Ventas]])</f>
        <v>5.8728219452170487E-2</v>
      </c>
      <c r="Q1669" s="837">
        <f>IFERROR(Indicadores[[#This Row],[Ventas]]/Indicadores[[#This Row],[Activos totales]],0)</f>
        <v>1.7063766057649488</v>
      </c>
    </row>
    <row r="1670" spans="1:17" hidden="1" x14ac:dyDescent="0.3">
      <c r="A1670" s="13" t="str">
        <f>MID(Indicadores[[#This Row],[CIIU]],2,4)</f>
        <v>8691</v>
      </c>
      <c r="B1670" s="13" t="str">
        <f>Indicadores[[#This Row],[CIIU]]&amp;Indicadores[[#This Row],[Año]]</f>
        <v>Q86912019</v>
      </c>
      <c r="C1670" s="845" t="s">
        <v>3440</v>
      </c>
      <c r="D1670" s="845" t="s">
        <v>3441</v>
      </c>
      <c r="E1670" s="843">
        <v>2019</v>
      </c>
      <c r="F1670" s="844" t="s">
        <v>3451</v>
      </c>
      <c r="G1670" s="842" t="s">
        <v>3452</v>
      </c>
      <c r="H1670" s="843" t="s">
        <v>3453</v>
      </c>
      <c r="I1670" s="842" t="s">
        <v>3452</v>
      </c>
      <c r="J1670" s="840">
        <v>30236846</v>
      </c>
      <c r="K1670" s="840">
        <v>36535100</v>
      </c>
      <c r="L1670" s="841">
        <v>229491025</v>
      </c>
      <c r="M1670" s="840">
        <v>171972411</v>
      </c>
      <c r="N1670" s="839">
        <f>Indicadores[[#This Row],[Ventas]]/Indicadores[[#This Row],[Activos totales]]</f>
        <v>0.74936442939326275</v>
      </c>
      <c r="O1670" s="837">
        <f>IF(Indicadores[[#This Row],[Ventas]]=0,0,Indicadores[[#This Row],[EBITDA]]/Indicadores[[#This Row],[Ventas]])</f>
        <v>0.21244744891086048</v>
      </c>
      <c r="P1670" s="837">
        <f>IF(Indicadores[[#This Row],[Ventas]]=0,0,Indicadores[[#This Row],[UAI]]/Indicadores[[#This Row],[Ventas]])</f>
        <v>0.17582381862402335</v>
      </c>
      <c r="Q1670" s="837">
        <f>IFERROR(Indicadores[[#This Row],[Ventas]]/Indicadores[[#This Row],[Activos totales]],0)</f>
        <v>0.74936442939326275</v>
      </c>
    </row>
    <row r="1671" spans="1:17" hidden="1" x14ac:dyDescent="0.3">
      <c r="A1671" s="13" t="str">
        <f>MID(Indicadores[[#This Row],[CIIU]],2,4)</f>
        <v>8692</v>
      </c>
      <c r="B1671" s="13" t="str">
        <f>Indicadores[[#This Row],[CIIU]]&amp;Indicadores[[#This Row],[Año]]</f>
        <v>Q86922019</v>
      </c>
      <c r="C1671" s="845" t="s">
        <v>3440</v>
      </c>
      <c r="D1671" s="845" t="s">
        <v>3441</v>
      </c>
      <c r="E1671" s="843">
        <v>2019</v>
      </c>
      <c r="F1671" s="844" t="s">
        <v>3454</v>
      </c>
      <c r="G1671" s="842" t="s">
        <v>3455</v>
      </c>
      <c r="H1671" s="843" t="s">
        <v>3456</v>
      </c>
      <c r="I1671" s="842" t="s">
        <v>3455</v>
      </c>
      <c r="J1671" s="840">
        <v>73029</v>
      </c>
      <c r="K1671" s="840">
        <v>109494</v>
      </c>
      <c r="L1671" s="841">
        <v>6736550</v>
      </c>
      <c r="M1671" s="840">
        <v>7565276</v>
      </c>
      <c r="N1671" s="839">
        <f>Indicadores[[#This Row],[Ventas]]/Indicadores[[#This Row],[Activos totales]]</f>
        <v>1.1230193496671144</v>
      </c>
      <c r="O1671" s="837">
        <f>IF(Indicadores[[#This Row],[Ventas]]=0,0,Indicadores[[#This Row],[EBITDA]]/Indicadores[[#This Row],[Ventas]])</f>
        <v>1.4473232701622518E-2</v>
      </c>
      <c r="P1671" s="837">
        <f>IF(Indicadores[[#This Row],[Ventas]]=0,0,Indicadores[[#This Row],[UAI]]/Indicadores[[#This Row],[Ventas]])</f>
        <v>9.6531838362539577E-3</v>
      </c>
      <c r="Q1671" s="837">
        <f>IFERROR(Indicadores[[#This Row],[Ventas]]/Indicadores[[#This Row],[Activos totales]],0)</f>
        <v>1.1230193496671144</v>
      </c>
    </row>
    <row r="1672" spans="1:17" hidden="1" x14ac:dyDescent="0.3">
      <c r="A1672" s="13" t="str">
        <f>MID(Indicadores[[#This Row],[CIIU]],2,4)</f>
        <v>8699</v>
      </c>
      <c r="B1672" s="13" t="str">
        <f>Indicadores[[#This Row],[CIIU]]&amp;Indicadores[[#This Row],[Año]]</f>
        <v>Q86992019</v>
      </c>
      <c r="C1672" s="845" t="s">
        <v>3440</v>
      </c>
      <c r="D1672" s="845" t="s">
        <v>3441</v>
      </c>
      <c r="E1672" s="843">
        <v>2019</v>
      </c>
      <c r="F1672" s="844" t="s">
        <v>3457</v>
      </c>
      <c r="G1672" s="842" t="s">
        <v>3458</v>
      </c>
      <c r="H1672" s="843" t="s">
        <v>3459</v>
      </c>
      <c r="I1672" s="842" t="s">
        <v>3458</v>
      </c>
      <c r="J1672" s="840">
        <v>18632183</v>
      </c>
      <c r="K1672" s="840">
        <v>21450780</v>
      </c>
      <c r="L1672" s="841">
        <v>289749083</v>
      </c>
      <c r="M1672" s="840">
        <v>211391179</v>
      </c>
      <c r="N1672" s="839">
        <f>Indicadores[[#This Row],[Ventas]]/Indicadores[[#This Row],[Activos totales]]</f>
        <v>0.72956634344206017</v>
      </c>
      <c r="O1672" s="837">
        <f>IF(Indicadores[[#This Row],[Ventas]]=0,0,Indicadores[[#This Row],[EBITDA]]/Indicadores[[#This Row],[Ventas]])</f>
        <v>0.10147433824568432</v>
      </c>
      <c r="P1672" s="837">
        <f>IF(Indicadores[[#This Row],[Ventas]]=0,0,Indicadores[[#This Row],[UAI]]/Indicadores[[#This Row],[Ventas]])</f>
        <v>8.8140778097462624E-2</v>
      </c>
      <c r="Q1672" s="837">
        <f>IFERROR(Indicadores[[#This Row],[Ventas]]/Indicadores[[#This Row],[Activos totales]],0)</f>
        <v>0.72956634344206017</v>
      </c>
    </row>
    <row r="1673" spans="1:17" hidden="1" x14ac:dyDescent="0.3">
      <c r="A1673" s="13" t="str">
        <f>MID(Indicadores[[#This Row],[CIIU]],2,4)</f>
        <v>8710</v>
      </c>
      <c r="B1673" s="13" t="str">
        <f>Indicadores[[#This Row],[CIIU]]&amp;Indicadores[[#This Row],[Año]]</f>
        <v>Q87102019</v>
      </c>
      <c r="C1673" s="845" t="s">
        <v>3440</v>
      </c>
      <c r="D1673" s="845" t="s">
        <v>3460</v>
      </c>
      <c r="E1673" s="843">
        <v>2019</v>
      </c>
      <c r="F1673" s="844" t="s">
        <v>3579</v>
      </c>
      <c r="G1673" s="842" t="s">
        <v>3580</v>
      </c>
      <c r="H1673" s="843" t="s">
        <v>3581</v>
      </c>
      <c r="I1673" s="842" t="s">
        <v>3580</v>
      </c>
      <c r="J1673" s="840">
        <v>588511</v>
      </c>
      <c r="K1673" s="840">
        <v>823707</v>
      </c>
      <c r="L1673" s="841">
        <v>9444190</v>
      </c>
      <c r="M1673" s="840">
        <v>12540942</v>
      </c>
      <c r="N1673" s="839">
        <f>Indicadores[[#This Row],[Ventas]]/Indicadores[[#This Row],[Activos totales]]</f>
        <v>1.3279002222530465</v>
      </c>
      <c r="O1673" s="837">
        <f>IF(Indicadores[[#This Row],[Ventas]]=0,0,Indicadores[[#This Row],[EBITDA]]/Indicadores[[#This Row],[Ventas]])</f>
        <v>6.5681429672507854E-2</v>
      </c>
      <c r="P1673" s="837">
        <f>IF(Indicadores[[#This Row],[Ventas]]=0,0,Indicadores[[#This Row],[UAI]]/Indicadores[[#This Row],[Ventas]])</f>
        <v>4.6927176602842118E-2</v>
      </c>
      <c r="Q1673" s="837">
        <f>IFERROR(Indicadores[[#This Row],[Ventas]]/Indicadores[[#This Row],[Activos totales]],0)</f>
        <v>1.3279002222530465</v>
      </c>
    </row>
    <row r="1674" spans="1:17" hidden="1" x14ac:dyDescent="0.3">
      <c r="A1674" s="13" t="str">
        <f>MID(Indicadores[[#This Row],[CIIU]],2,4)</f>
        <v>8890</v>
      </c>
      <c r="B1674" s="13" t="str">
        <f>Indicadores[[#This Row],[CIIU]]&amp;Indicadores[[#This Row],[Año]]</f>
        <v>Q88902019</v>
      </c>
      <c r="C1674" s="845" t="s">
        <v>3440</v>
      </c>
      <c r="D1674" s="845" t="s">
        <v>3464</v>
      </c>
      <c r="E1674" s="843">
        <v>2019</v>
      </c>
      <c r="F1674" s="844" t="s">
        <v>3468</v>
      </c>
      <c r="G1674" s="842" t="s">
        <v>3469</v>
      </c>
      <c r="H1674" s="843" t="s">
        <v>3470</v>
      </c>
      <c r="I1674" s="842" t="s">
        <v>3469</v>
      </c>
      <c r="J1674" s="840">
        <v>23265</v>
      </c>
      <c r="K1674" s="840">
        <v>23265</v>
      </c>
      <c r="L1674" s="841">
        <v>18131822</v>
      </c>
      <c r="M1674" s="840">
        <v>250726</v>
      </c>
      <c r="N1674" s="839">
        <f>Indicadores[[#This Row],[Ventas]]/Indicadores[[#This Row],[Activos totales]]</f>
        <v>1.3827953969545918E-2</v>
      </c>
      <c r="O1674" s="837">
        <f>IF(Indicadores[[#This Row],[Ventas]]=0,0,Indicadores[[#This Row],[EBITDA]]/Indicadores[[#This Row],[Ventas]])</f>
        <v>9.2790536282635228E-2</v>
      </c>
      <c r="P1674" s="837">
        <f>IF(Indicadores[[#This Row],[Ventas]]=0,0,Indicadores[[#This Row],[UAI]]/Indicadores[[#This Row],[Ventas]])</f>
        <v>9.2790536282635228E-2</v>
      </c>
      <c r="Q1674" s="837">
        <f>IFERROR(Indicadores[[#This Row],[Ventas]]/Indicadores[[#This Row],[Activos totales]],0)</f>
        <v>1.3827953969545918E-2</v>
      </c>
    </row>
    <row r="1675" spans="1:17" hidden="1" x14ac:dyDescent="0.3">
      <c r="A1675" s="13" t="str">
        <f>MID(Indicadores[[#This Row],[CIIU]],2,4)</f>
        <v>9002</v>
      </c>
      <c r="B1675" s="13" t="str">
        <f>Indicadores[[#This Row],[CIIU]]&amp;Indicadores[[#This Row],[Año]]</f>
        <v>R90022019</v>
      </c>
      <c r="C1675" s="845" t="s">
        <v>3471</v>
      </c>
      <c r="D1675" s="845" t="s">
        <v>3472</v>
      </c>
      <c r="E1675" s="843">
        <v>2019</v>
      </c>
      <c r="F1675" s="844" t="s">
        <v>3607</v>
      </c>
      <c r="G1675" s="842" t="s">
        <v>3608</v>
      </c>
      <c r="H1675" s="843" t="s">
        <v>3609</v>
      </c>
      <c r="I1675" s="842" t="s">
        <v>3608</v>
      </c>
      <c r="J1675" s="840">
        <v>928795</v>
      </c>
      <c r="K1675" s="840">
        <v>1947482</v>
      </c>
      <c r="L1675" s="841">
        <v>8183199</v>
      </c>
      <c r="M1675" s="840">
        <v>19532978</v>
      </c>
      <c r="N1675" s="839">
        <f>Indicadores[[#This Row],[Ventas]]/Indicadores[[#This Row],[Activos totales]]</f>
        <v>2.3869611383030036</v>
      </c>
      <c r="O1675" s="837">
        <f>IF(Indicadores[[#This Row],[Ventas]]=0,0,Indicadores[[#This Row],[EBITDA]]/Indicadores[[#This Row],[Ventas]])</f>
        <v>9.9702257382361256E-2</v>
      </c>
      <c r="P1675" s="837">
        <f>IF(Indicadores[[#This Row],[Ventas]]=0,0,Indicadores[[#This Row],[UAI]]/Indicadores[[#This Row],[Ventas]])</f>
        <v>4.7550097071731717E-2</v>
      </c>
      <c r="Q1675" s="837">
        <f>IFERROR(Indicadores[[#This Row],[Ventas]]/Indicadores[[#This Row],[Activos totales]],0)</f>
        <v>2.3869611383030036</v>
      </c>
    </row>
    <row r="1676" spans="1:17" hidden="1" x14ac:dyDescent="0.3">
      <c r="A1676" s="13" t="str">
        <f>MID(Indicadores[[#This Row],[CIIU]],2,4)</f>
        <v>9006</v>
      </c>
      <c r="B1676" s="13" t="str">
        <f>Indicadores[[#This Row],[CIIU]]&amp;Indicadores[[#This Row],[Año]]</f>
        <v>R90062019</v>
      </c>
      <c r="C1676" s="845" t="s">
        <v>3471</v>
      </c>
      <c r="D1676" s="845" t="s">
        <v>3472</v>
      </c>
      <c r="E1676" s="843">
        <v>2019</v>
      </c>
      <c r="F1676" s="844" t="s">
        <v>3473</v>
      </c>
      <c r="G1676" s="842" t="s">
        <v>3474</v>
      </c>
      <c r="H1676" s="843" t="s">
        <v>3475</v>
      </c>
      <c r="I1676" s="842" t="s">
        <v>3474</v>
      </c>
      <c r="J1676" s="840">
        <v>-201698</v>
      </c>
      <c r="K1676" s="840">
        <v>2359178</v>
      </c>
      <c r="L1676" s="841">
        <v>26756673</v>
      </c>
      <c r="M1676" s="840">
        <v>13670105</v>
      </c>
      <c r="N1676" s="839">
        <f>Indicadores[[#This Row],[Ventas]]/Indicadores[[#This Row],[Activos totales]]</f>
        <v>0.51090451342736076</v>
      </c>
      <c r="O1676" s="837">
        <f>IF(Indicadores[[#This Row],[Ventas]]=0,0,Indicadores[[#This Row],[EBITDA]]/Indicadores[[#This Row],[Ventas]])</f>
        <v>0.17257936204586577</v>
      </c>
      <c r="P1676" s="837">
        <f>IF(Indicadores[[#This Row],[Ventas]]=0,0,Indicadores[[#This Row],[UAI]]/Indicadores[[#This Row],[Ventas]])</f>
        <v>-1.4754678182793768E-2</v>
      </c>
      <c r="Q1676" s="837">
        <f>IFERROR(Indicadores[[#This Row],[Ventas]]/Indicadores[[#This Row],[Activos totales]],0)</f>
        <v>0.51090451342736076</v>
      </c>
    </row>
    <row r="1677" spans="1:17" hidden="1" x14ac:dyDescent="0.3">
      <c r="A1677" s="13" t="str">
        <f>MID(Indicadores[[#This Row],[CIIU]],2,4)</f>
        <v>9007</v>
      </c>
      <c r="B1677" s="13" t="str">
        <f>Indicadores[[#This Row],[CIIU]]&amp;Indicadores[[#This Row],[Año]]</f>
        <v>R90072019</v>
      </c>
      <c r="C1677" s="845" t="s">
        <v>3471</v>
      </c>
      <c r="D1677" s="845" t="s">
        <v>3472</v>
      </c>
      <c r="E1677" s="843">
        <v>2019</v>
      </c>
      <c r="F1677" s="844" t="s">
        <v>3476</v>
      </c>
      <c r="G1677" s="842" t="s">
        <v>3477</v>
      </c>
      <c r="H1677" s="843" t="s">
        <v>3478</v>
      </c>
      <c r="I1677" s="842" t="s">
        <v>3477</v>
      </c>
      <c r="J1677" s="840">
        <v>21038199</v>
      </c>
      <c r="K1677" s="840">
        <v>24564309</v>
      </c>
      <c r="L1677" s="841">
        <v>178872854</v>
      </c>
      <c r="M1677" s="840">
        <v>233191754</v>
      </c>
      <c r="N1677" s="839">
        <f>Indicadores[[#This Row],[Ventas]]/Indicadores[[#This Row],[Activos totales]]</f>
        <v>1.3036732449072457</v>
      </c>
      <c r="O1677" s="837">
        <f>IF(Indicadores[[#This Row],[Ventas]]=0,0,Indicadores[[#This Row],[EBITDA]]/Indicadores[[#This Row],[Ventas]])</f>
        <v>0.10533952671413931</v>
      </c>
      <c r="P1677" s="837">
        <f>IF(Indicadores[[#This Row],[Ventas]]=0,0,Indicadores[[#This Row],[UAI]]/Indicadores[[#This Row],[Ventas]])</f>
        <v>9.0218451721067294E-2</v>
      </c>
      <c r="Q1677" s="837">
        <f>IFERROR(Indicadores[[#This Row],[Ventas]]/Indicadores[[#This Row],[Activos totales]],0)</f>
        <v>1.3036732449072457</v>
      </c>
    </row>
    <row r="1678" spans="1:17" hidden="1" x14ac:dyDescent="0.3">
      <c r="A1678" s="13" t="str">
        <f>MID(Indicadores[[#This Row],[CIIU]],2,4)</f>
        <v>9008</v>
      </c>
      <c r="B1678" s="13" t="str">
        <f>Indicadores[[#This Row],[CIIU]]&amp;Indicadores[[#This Row],[Año]]</f>
        <v>R90082019</v>
      </c>
      <c r="C1678" s="845" t="s">
        <v>3471</v>
      </c>
      <c r="D1678" s="845" t="s">
        <v>3472</v>
      </c>
      <c r="E1678" s="843">
        <v>2019</v>
      </c>
      <c r="F1678" s="844" t="s">
        <v>3582</v>
      </c>
      <c r="G1678" s="842" t="s">
        <v>3583</v>
      </c>
      <c r="H1678" s="843" t="s">
        <v>3584</v>
      </c>
      <c r="I1678" s="842" t="s">
        <v>3583</v>
      </c>
      <c r="J1678" s="840">
        <v>2790139</v>
      </c>
      <c r="K1678" s="840">
        <v>3589346</v>
      </c>
      <c r="L1678" s="841">
        <v>35236262</v>
      </c>
      <c r="M1678" s="840">
        <v>28133486</v>
      </c>
      <c r="N1678" s="839">
        <f>Indicadores[[#This Row],[Ventas]]/Indicadores[[#This Row],[Activos totales]]</f>
        <v>0.79842424829285241</v>
      </c>
      <c r="O1678" s="837">
        <f>IF(Indicadores[[#This Row],[Ventas]]=0,0,Indicadores[[#This Row],[EBITDA]]/Indicadores[[#This Row],[Ventas]])</f>
        <v>0.12758269629295141</v>
      </c>
      <c r="P1678" s="837">
        <f>IF(Indicadores[[#This Row],[Ventas]]=0,0,Indicadores[[#This Row],[UAI]]/Indicadores[[#This Row],[Ventas]])</f>
        <v>9.917501869480376E-2</v>
      </c>
      <c r="Q1678" s="837">
        <f>IFERROR(Indicadores[[#This Row],[Ventas]]/Indicadores[[#This Row],[Activos totales]],0)</f>
        <v>0.79842424829285241</v>
      </c>
    </row>
    <row r="1679" spans="1:17" hidden="1" x14ac:dyDescent="0.3">
      <c r="A1679" s="13" t="str">
        <f>MID(Indicadores[[#This Row],[CIIU]],2,4)</f>
        <v>9101</v>
      </c>
      <c r="B1679" s="13" t="str">
        <f>Indicadores[[#This Row],[CIIU]]&amp;Indicadores[[#This Row],[Año]]</f>
        <v>R91012019</v>
      </c>
      <c r="C1679" s="845" t="s">
        <v>3471</v>
      </c>
      <c r="D1679" s="845" t="s">
        <v>3479</v>
      </c>
      <c r="E1679" s="843">
        <v>2019</v>
      </c>
      <c r="F1679" s="844" t="s">
        <v>3610</v>
      </c>
      <c r="G1679" s="842" t="s">
        <v>3611</v>
      </c>
      <c r="H1679" s="843" t="s">
        <v>3612</v>
      </c>
      <c r="I1679" s="842" t="s">
        <v>3611</v>
      </c>
      <c r="J1679" s="840">
        <v>1913894</v>
      </c>
      <c r="K1679" s="840">
        <v>2311259</v>
      </c>
      <c r="L1679" s="841">
        <v>21613327</v>
      </c>
      <c r="M1679" s="840">
        <v>14860056</v>
      </c>
      <c r="N1679" s="839">
        <f>Indicadores[[#This Row],[Ventas]]/Indicadores[[#This Row],[Activos totales]]</f>
        <v>0.68754134890940211</v>
      </c>
      <c r="O1679" s="837">
        <f>IF(Indicadores[[#This Row],[Ventas]]=0,0,Indicadores[[#This Row],[EBITDA]]/Indicadores[[#This Row],[Ventas]])</f>
        <v>0.15553501278864629</v>
      </c>
      <c r="P1679" s="837">
        <f>IF(Indicadores[[#This Row],[Ventas]]=0,0,Indicadores[[#This Row],[UAI]]/Indicadores[[#This Row],[Ventas]])</f>
        <v>0.12879453482544076</v>
      </c>
      <c r="Q1679" s="837">
        <f>IFERROR(Indicadores[[#This Row],[Ventas]]/Indicadores[[#This Row],[Activos totales]],0)</f>
        <v>0.68754134890940211</v>
      </c>
    </row>
    <row r="1680" spans="1:17" hidden="1" x14ac:dyDescent="0.3">
      <c r="A1680" s="13" t="str">
        <f>MID(Indicadores[[#This Row],[CIIU]],2,4)</f>
        <v>9103</v>
      </c>
      <c r="B1680" s="13" t="str">
        <f>Indicadores[[#This Row],[CIIU]]&amp;Indicadores[[#This Row],[Año]]</f>
        <v>R91032019</v>
      </c>
      <c r="C1680" s="845" t="s">
        <v>3471</v>
      </c>
      <c r="D1680" s="845" t="s">
        <v>3479</v>
      </c>
      <c r="E1680" s="843">
        <v>2019</v>
      </c>
      <c r="F1680" s="844" t="s">
        <v>3480</v>
      </c>
      <c r="G1680" s="842" t="s">
        <v>3481</v>
      </c>
      <c r="H1680" s="843" t="s">
        <v>3482</v>
      </c>
      <c r="I1680" s="842" t="s">
        <v>3481</v>
      </c>
      <c r="J1680" s="840">
        <v>369253</v>
      </c>
      <c r="K1680" s="840">
        <v>1221616</v>
      </c>
      <c r="L1680" s="841">
        <v>46721984</v>
      </c>
      <c r="M1680" s="840">
        <v>18291603</v>
      </c>
      <c r="N1680" s="839">
        <f>Indicadores[[#This Row],[Ventas]]/Indicadores[[#This Row],[Activos totales]]</f>
        <v>0.39149884987760791</v>
      </c>
      <c r="O1680" s="837">
        <f>IF(Indicadores[[#This Row],[Ventas]]=0,0,Indicadores[[#This Row],[EBITDA]]/Indicadores[[#This Row],[Ventas]])</f>
        <v>6.678561742237682E-2</v>
      </c>
      <c r="P1680" s="837">
        <f>IF(Indicadores[[#This Row],[Ventas]]=0,0,Indicadores[[#This Row],[UAI]]/Indicadores[[#This Row],[Ventas]])</f>
        <v>2.018702242772271E-2</v>
      </c>
      <c r="Q1680" s="837">
        <f>IFERROR(Indicadores[[#This Row],[Ventas]]/Indicadores[[#This Row],[Activos totales]],0)</f>
        <v>0.39149884987760791</v>
      </c>
    </row>
    <row r="1681" spans="1:17" hidden="1" x14ac:dyDescent="0.3">
      <c r="A1681" s="13" t="str">
        <f>MID(Indicadores[[#This Row],[CIIU]],2,4)</f>
        <v>9200</v>
      </c>
      <c r="B1681" s="13" t="str">
        <f>Indicadores[[#This Row],[CIIU]]&amp;Indicadores[[#This Row],[Año]]</f>
        <v>R92002019</v>
      </c>
      <c r="C1681" s="845" t="s">
        <v>3471</v>
      </c>
      <c r="D1681" s="845" t="s">
        <v>3483</v>
      </c>
      <c r="E1681" s="843">
        <v>2019</v>
      </c>
      <c r="F1681" s="844" t="s">
        <v>3484</v>
      </c>
      <c r="G1681" s="842" t="s">
        <v>3485</v>
      </c>
      <c r="H1681" s="843" t="s">
        <v>3486</v>
      </c>
      <c r="I1681" s="842" t="s">
        <v>3485</v>
      </c>
      <c r="J1681" s="840">
        <v>4284013</v>
      </c>
      <c r="K1681" s="840">
        <v>29052221</v>
      </c>
      <c r="L1681" s="841">
        <v>481422542</v>
      </c>
      <c r="M1681" s="840">
        <v>432327534</v>
      </c>
      <c r="N1681" s="839">
        <f>Indicadores[[#This Row],[Ventas]]/Indicadores[[#This Row],[Activos totales]]</f>
        <v>0.89802096138655674</v>
      </c>
      <c r="O1681" s="837">
        <f>IF(Indicadores[[#This Row],[Ventas]]=0,0,Indicadores[[#This Row],[EBITDA]]/Indicadores[[#This Row],[Ventas]])</f>
        <v>6.7199562172692892E-2</v>
      </c>
      <c r="P1681" s="837">
        <f>IF(Indicadores[[#This Row],[Ventas]]=0,0,Indicadores[[#This Row],[UAI]]/Indicadores[[#This Row],[Ventas]])</f>
        <v>9.9091838087740202E-3</v>
      </c>
      <c r="Q1681" s="837">
        <f>IFERROR(Indicadores[[#This Row],[Ventas]]/Indicadores[[#This Row],[Activos totales]],0)</f>
        <v>0.89802096138655674</v>
      </c>
    </row>
    <row r="1682" spans="1:17" hidden="1" x14ac:dyDescent="0.3">
      <c r="A1682" s="13" t="str">
        <f>MID(Indicadores[[#This Row],[CIIU]],2,4)</f>
        <v>9311</v>
      </c>
      <c r="B1682" s="13" t="str">
        <f>Indicadores[[#This Row],[CIIU]]&amp;Indicadores[[#This Row],[Año]]</f>
        <v>R93112019</v>
      </c>
      <c r="C1682" s="845" t="s">
        <v>3471</v>
      </c>
      <c r="D1682" s="845" t="s">
        <v>3487</v>
      </c>
      <c r="E1682" s="843">
        <v>2019</v>
      </c>
      <c r="F1682" s="844" t="s">
        <v>3488</v>
      </c>
      <c r="G1682" s="842" t="s">
        <v>3489</v>
      </c>
      <c r="H1682" s="843" t="s">
        <v>3490</v>
      </c>
      <c r="I1682" s="842" t="s">
        <v>3489</v>
      </c>
      <c r="J1682" s="840">
        <v>26286551</v>
      </c>
      <c r="K1682" s="840">
        <v>48748393</v>
      </c>
      <c r="L1682" s="841">
        <v>463987152</v>
      </c>
      <c r="M1682" s="840">
        <v>193067622</v>
      </c>
      <c r="N1682" s="839">
        <f>Indicadores[[#This Row],[Ventas]]/Indicadores[[#This Row],[Activos totales]]</f>
        <v>0.41610553474980705</v>
      </c>
      <c r="O1682" s="837">
        <f>IF(Indicadores[[#This Row],[Ventas]]=0,0,Indicadores[[#This Row],[EBITDA]]/Indicadores[[#This Row],[Ventas]])</f>
        <v>0.25249388009761681</v>
      </c>
      <c r="P1682" s="837">
        <f>IF(Indicadores[[#This Row],[Ventas]]=0,0,Indicadores[[#This Row],[UAI]]/Indicadores[[#This Row],[Ventas]])</f>
        <v>0.13615204210678059</v>
      </c>
      <c r="Q1682" s="837">
        <f>IFERROR(Indicadores[[#This Row],[Ventas]]/Indicadores[[#This Row],[Activos totales]],0)</f>
        <v>0.41610553474980705</v>
      </c>
    </row>
    <row r="1683" spans="1:17" hidden="1" x14ac:dyDescent="0.3">
      <c r="A1683" s="13" t="str">
        <f>MID(Indicadores[[#This Row],[CIIU]],2,4)</f>
        <v>9312</v>
      </c>
      <c r="B1683" s="13" t="str">
        <f>Indicadores[[#This Row],[CIIU]]&amp;Indicadores[[#This Row],[Año]]</f>
        <v>R93122019</v>
      </c>
      <c r="C1683" s="845" t="s">
        <v>3471</v>
      </c>
      <c r="D1683" s="845" t="s">
        <v>3487</v>
      </c>
      <c r="E1683" s="843">
        <v>2019</v>
      </c>
      <c r="F1683" s="844" t="s">
        <v>3491</v>
      </c>
      <c r="G1683" s="842" t="s">
        <v>3492</v>
      </c>
      <c r="H1683" s="843" t="s">
        <v>3493</v>
      </c>
      <c r="I1683" s="842" t="s">
        <v>3492</v>
      </c>
      <c r="J1683" s="840">
        <v>1251139</v>
      </c>
      <c r="K1683" s="840">
        <v>50823802</v>
      </c>
      <c r="L1683" s="841">
        <v>605159963</v>
      </c>
      <c r="M1683" s="840">
        <v>582909573</v>
      </c>
      <c r="N1683" s="839">
        <f>Indicadores[[#This Row],[Ventas]]/Indicadores[[#This Row],[Activos totales]]</f>
        <v>0.96323221733027964</v>
      </c>
      <c r="O1683" s="837">
        <f>IF(Indicadores[[#This Row],[Ventas]]=0,0,Indicadores[[#This Row],[EBITDA]]/Indicadores[[#This Row],[Ventas]])</f>
        <v>8.7189856461664259E-2</v>
      </c>
      <c r="P1683" s="837">
        <f>IF(Indicadores[[#This Row],[Ventas]]=0,0,Indicadores[[#This Row],[UAI]]/Indicadores[[#This Row],[Ventas]])</f>
        <v>2.1463689360270636E-3</v>
      </c>
      <c r="Q1683" s="837">
        <f>IFERROR(Indicadores[[#This Row],[Ventas]]/Indicadores[[#This Row],[Activos totales]],0)</f>
        <v>0.96323221733027964</v>
      </c>
    </row>
    <row r="1684" spans="1:17" hidden="1" x14ac:dyDescent="0.3">
      <c r="A1684" s="13" t="str">
        <f>MID(Indicadores[[#This Row],[CIIU]],2,4)</f>
        <v>9319</v>
      </c>
      <c r="B1684" s="13" t="str">
        <f>Indicadores[[#This Row],[CIIU]]&amp;Indicadores[[#This Row],[Año]]</f>
        <v>R93192019</v>
      </c>
      <c r="C1684" s="845" t="s">
        <v>3471</v>
      </c>
      <c r="D1684" s="845" t="s">
        <v>3487</v>
      </c>
      <c r="E1684" s="843">
        <v>2019</v>
      </c>
      <c r="F1684" s="844" t="s">
        <v>3494</v>
      </c>
      <c r="G1684" s="842" t="s">
        <v>3495</v>
      </c>
      <c r="H1684" s="843" t="s">
        <v>3496</v>
      </c>
      <c r="I1684" s="842" t="s">
        <v>3495</v>
      </c>
      <c r="J1684" s="840">
        <v>-2968980</v>
      </c>
      <c r="K1684" s="840">
        <v>-2707643</v>
      </c>
      <c r="L1684" s="841">
        <v>3715072</v>
      </c>
      <c r="M1684" s="840">
        <v>4107537</v>
      </c>
      <c r="N1684" s="839">
        <f>Indicadores[[#This Row],[Ventas]]/Indicadores[[#This Row],[Activos totales]]</f>
        <v>1.1056412903976021</v>
      </c>
      <c r="O1684" s="837">
        <f>IF(Indicadores[[#This Row],[Ventas]]=0,0,Indicadores[[#This Row],[EBITDA]]/Indicadores[[#This Row],[Ventas]])</f>
        <v>-0.65918894948481288</v>
      </c>
      <c r="P1684" s="837">
        <f>IF(Indicadores[[#This Row],[Ventas]]=0,0,Indicadores[[#This Row],[UAI]]/Indicadores[[#This Row],[Ventas]])</f>
        <v>-0.72281272207651448</v>
      </c>
      <c r="Q1684" s="837">
        <f>IFERROR(Indicadores[[#This Row],[Ventas]]/Indicadores[[#This Row],[Activos totales]],0)</f>
        <v>1.1056412903976021</v>
      </c>
    </row>
    <row r="1685" spans="1:17" hidden="1" x14ac:dyDescent="0.3">
      <c r="A1685" s="13" t="str">
        <f>MID(Indicadores[[#This Row],[CIIU]],2,4)</f>
        <v>9321</v>
      </c>
      <c r="B1685" s="13" t="str">
        <f>Indicadores[[#This Row],[CIIU]]&amp;Indicadores[[#This Row],[Año]]</f>
        <v>R93212019</v>
      </c>
      <c r="C1685" s="845" t="s">
        <v>3471</v>
      </c>
      <c r="D1685" s="845" t="s">
        <v>3487</v>
      </c>
      <c r="E1685" s="843">
        <v>2019</v>
      </c>
      <c r="F1685" s="844" t="s">
        <v>3497</v>
      </c>
      <c r="G1685" s="842" t="s">
        <v>3498</v>
      </c>
      <c r="H1685" s="843" t="s">
        <v>3499</v>
      </c>
      <c r="I1685" s="842" t="s">
        <v>3498</v>
      </c>
      <c r="J1685" s="840">
        <v>2595731</v>
      </c>
      <c r="K1685" s="840">
        <v>13687572</v>
      </c>
      <c r="L1685" s="841">
        <v>175715158</v>
      </c>
      <c r="M1685" s="840">
        <v>88674239</v>
      </c>
      <c r="N1685" s="839">
        <f>Indicadores[[#This Row],[Ventas]]/Indicadores[[#This Row],[Activos totales]]</f>
        <v>0.50464763546466496</v>
      </c>
      <c r="O1685" s="837">
        <f>IF(Indicadores[[#This Row],[Ventas]]=0,0,Indicadores[[#This Row],[EBITDA]]/Indicadores[[#This Row],[Ventas]])</f>
        <v>0.15435793026653435</v>
      </c>
      <c r="P1685" s="837">
        <f>IF(Indicadores[[#This Row],[Ventas]]=0,0,Indicadores[[#This Row],[UAI]]/Indicadores[[#This Row],[Ventas]])</f>
        <v>2.927266170279736E-2</v>
      </c>
      <c r="Q1685" s="837">
        <f>IFERROR(Indicadores[[#This Row],[Ventas]]/Indicadores[[#This Row],[Activos totales]],0)</f>
        <v>0.50464763546466496</v>
      </c>
    </row>
    <row r="1686" spans="1:17" hidden="1" x14ac:dyDescent="0.3">
      <c r="A1686" s="13" t="str">
        <f>MID(Indicadores[[#This Row],[CIIU]],2,4)</f>
        <v>9329</v>
      </c>
      <c r="B1686" s="13" t="str">
        <f>Indicadores[[#This Row],[CIIU]]&amp;Indicadores[[#This Row],[Año]]</f>
        <v>R93292019</v>
      </c>
      <c r="C1686" s="845" t="s">
        <v>3471</v>
      </c>
      <c r="D1686" s="845" t="s">
        <v>3487</v>
      </c>
      <c r="E1686" s="843">
        <v>2019</v>
      </c>
      <c r="F1686" s="844" t="s">
        <v>3500</v>
      </c>
      <c r="G1686" s="842" t="s">
        <v>3501</v>
      </c>
      <c r="H1686" s="843" t="s">
        <v>3502</v>
      </c>
      <c r="I1686" s="842" t="s">
        <v>3501</v>
      </c>
      <c r="J1686" s="840">
        <v>-14358825</v>
      </c>
      <c r="K1686" s="840">
        <v>-395281</v>
      </c>
      <c r="L1686" s="841">
        <v>566957373</v>
      </c>
      <c r="M1686" s="840">
        <v>248809470</v>
      </c>
      <c r="N1686" s="839">
        <f>Indicadores[[#This Row],[Ventas]]/Indicadores[[#This Row],[Activos totales]]</f>
        <v>0.4388504001340503</v>
      </c>
      <c r="O1686" s="837">
        <f>IF(Indicadores[[#This Row],[Ventas]]=0,0,Indicadores[[#This Row],[EBITDA]]/Indicadores[[#This Row],[Ventas]])</f>
        <v>-1.588689530185487E-3</v>
      </c>
      <c r="P1686" s="837">
        <f>IF(Indicadores[[#This Row],[Ventas]]=0,0,Indicadores[[#This Row],[UAI]]/Indicadores[[#This Row],[Ventas]])</f>
        <v>-5.7710122528696353E-2</v>
      </c>
      <c r="Q1686" s="837">
        <f>IFERROR(Indicadores[[#This Row],[Ventas]]/Indicadores[[#This Row],[Activos totales]],0)</f>
        <v>0.4388504001340503</v>
      </c>
    </row>
    <row r="1687" spans="1:17" hidden="1" x14ac:dyDescent="0.3">
      <c r="A1687" s="13" t="str">
        <f>MID(Indicadores[[#This Row],[CIIU]],2,4)</f>
        <v>9411</v>
      </c>
      <c r="B1687" s="13" t="str">
        <f>Indicadores[[#This Row],[CIIU]]&amp;Indicadores[[#This Row],[Año]]</f>
        <v>S94112019</v>
      </c>
      <c r="C1687" s="845" t="s">
        <v>3503</v>
      </c>
      <c r="D1687" s="845" t="s">
        <v>3504</v>
      </c>
      <c r="E1687" s="843">
        <v>2019</v>
      </c>
      <c r="F1687" s="844" t="s">
        <v>3505</v>
      </c>
      <c r="G1687" s="842" t="s">
        <v>3506</v>
      </c>
      <c r="H1687" s="843" t="s">
        <v>3507</v>
      </c>
      <c r="I1687" s="842" t="s">
        <v>3506</v>
      </c>
      <c r="J1687" s="840">
        <v>-54352</v>
      </c>
      <c r="K1687" s="840">
        <v>-54352</v>
      </c>
      <c r="L1687" s="841">
        <v>7511563</v>
      </c>
      <c r="M1687" s="840">
        <v>2613</v>
      </c>
      <c r="N1687" s="839">
        <f>Indicadores[[#This Row],[Ventas]]/Indicadores[[#This Row],[Activos totales]]</f>
        <v>3.4786368695836006E-4</v>
      </c>
      <c r="O1687" s="837">
        <f>IF(Indicadores[[#This Row],[Ventas]]=0,0,Indicadores[[#This Row],[EBITDA]]/Indicadores[[#This Row],[Ventas]])</f>
        <v>-20.800612323000383</v>
      </c>
      <c r="P1687" s="837">
        <f>IF(Indicadores[[#This Row],[Ventas]]=0,0,Indicadores[[#This Row],[UAI]]/Indicadores[[#This Row],[Ventas]])</f>
        <v>-20.800612323000383</v>
      </c>
      <c r="Q1687" s="837">
        <f>IFERROR(Indicadores[[#This Row],[Ventas]]/Indicadores[[#This Row],[Activos totales]],0)</f>
        <v>3.4786368695836006E-4</v>
      </c>
    </row>
    <row r="1688" spans="1:17" hidden="1" x14ac:dyDescent="0.3">
      <c r="A1688" s="13" t="str">
        <f>MID(Indicadores[[#This Row],[CIIU]],2,4)</f>
        <v>9492</v>
      </c>
      <c r="B1688" s="13" t="str">
        <f>Indicadores[[#This Row],[CIIU]]&amp;Indicadores[[#This Row],[Año]]</f>
        <v>S94922019</v>
      </c>
      <c r="C1688" s="845" t="s">
        <v>3503</v>
      </c>
      <c r="D1688" s="845" t="s">
        <v>3504</v>
      </c>
      <c r="E1688" s="843">
        <v>2019</v>
      </c>
      <c r="F1688" s="844" t="s">
        <v>3613</v>
      </c>
      <c r="G1688" s="842" t="s">
        <v>3614</v>
      </c>
      <c r="H1688" s="843" t="s">
        <v>3615</v>
      </c>
      <c r="I1688" s="842" t="s">
        <v>3614</v>
      </c>
      <c r="J1688" s="840">
        <v>1445015</v>
      </c>
      <c r="K1688" s="840">
        <v>1568664</v>
      </c>
      <c r="L1688" s="841">
        <v>14121801</v>
      </c>
      <c r="M1688" s="840">
        <v>7748980</v>
      </c>
      <c r="N1688" s="839">
        <f>Indicadores[[#This Row],[Ventas]]/Indicadores[[#This Row],[Activos totales]]</f>
        <v>0.54872462797061083</v>
      </c>
      <c r="O1688" s="837">
        <f>IF(Indicadores[[#This Row],[Ventas]]=0,0,Indicadores[[#This Row],[EBITDA]]/Indicadores[[#This Row],[Ventas]])</f>
        <v>0.20243490110956538</v>
      </c>
      <c r="P1688" s="837">
        <f>IF(Indicadores[[#This Row],[Ventas]]=0,0,Indicadores[[#This Row],[UAI]]/Indicadores[[#This Row],[Ventas]])</f>
        <v>0.18647809131008211</v>
      </c>
      <c r="Q1688" s="837">
        <f>IFERROR(Indicadores[[#This Row],[Ventas]]/Indicadores[[#This Row],[Activos totales]],0)</f>
        <v>0.54872462797061083</v>
      </c>
    </row>
    <row r="1689" spans="1:17" hidden="1" x14ac:dyDescent="0.3">
      <c r="A1689" s="13" t="str">
        <f>MID(Indicadores[[#This Row],[CIIU]],2,4)</f>
        <v>9499</v>
      </c>
      <c r="B1689" s="13" t="str">
        <f>Indicadores[[#This Row],[CIIU]]&amp;Indicadores[[#This Row],[Año]]</f>
        <v>S94992019</v>
      </c>
      <c r="C1689" s="845" t="s">
        <v>3503</v>
      </c>
      <c r="D1689" s="845" t="s">
        <v>3504</v>
      </c>
      <c r="E1689" s="843">
        <v>2019</v>
      </c>
      <c r="F1689" s="844" t="s">
        <v>3508</v>
      </c>
      <c r="G1689" s="842" t="s">
        <v>3509</v>
      </c>
      <c r="H1689" s="843" t="s">
        <v>3510</v>
      </c>
      <c r="I1689" s="842" t="s">
        <v>3509</v>
      </c>
      <c r="J1689" s="840">
        <v>19566620</v>
      </c>
      <c r="K1689" s="840">
        <v>19644032</v>
      </c>
      <c r="L1689" s="841">
        <v>117852251</v>
      </c>
      <c r="M1689" s="840">
        <v>23910492</v>
      </c>
      <c r="N1689" s="839">
        <f>Indicadores[[#This Row],[Ventas]]/Indicadores[[#This Row],[Activos totales]]</f>
        <v>0.20288532291165148</v>
      </c>
      <c r="O1689" s="837">
        <f>IF(Indicadores[[#This Row],[Ventas]]=0,0,Indicadores[[#This Row],[EBITDA]]/Indicadores[[#This Row],[Ventas]])</f>
        <v>0.82156536134848246</v>
      </c>
      <c r="P1689" s="837">
        <f>IF(Indicadores[[#This Row],[Ventas]]=0,0,Indicadores[[#This Row],[UAI]]/Indicadores[[#This Row],[Ventas]])</f>
        <v>0.81832778681425711</v>
      </c>
      <c r="Q1689" s="837">
        <f>IFERROR(Indicadores[[#This Row],[Ventas]]/Indicadores[[#This Row],[Activos totales]],0)</f>
        <v>0.20288532291165148</v>
      </c>
    </row>
    <row r="1690" spans="1:17" hidden="1" x14ac:dyDescent="0.3">
      <c r="A1690" s="13" t="str">
        <f>MID(Indicadores[[#This Row],[CIIU]],2,4)</f>
        <v>9511</v>
      </c>
      <c r="B1690" s="13" t="str">
        <f>Indicadores[[#This Row],[CIIU]]&amp;Indicadores[[#This Row],[Año]]</f>
        <v>S95112019</v>
      </c>
      <c r="C1690" s="845" t="s">
        <v>3503</v>
      </c>
      <c r="D1690" s="845" t="s">
        <v>3511</v>
      </c>
      <c r="E1690" s="843">
        <v>2019</v>
      </c>
      <c r="F1690" s="844" t="s">
        <v>3512</v>
      </c>
      <c r="G1690" s="842" t="s">
        <v>3513</v>
      </c>
      <c r="H1690" s="843" t="s">
        <v>3514</v>
      </c>
      <c r="I1690" s="842" t="s">
        <v>3513</v>
      </c>
      <c r="J1690" s="840">
        <v>28680934</v>
      </c>
      <c r="K1690" s="840">
        <v>44496940</v>
      </c>
      <c r="L1690" s="841">
        <v>312288617</v>
      </c>
      <c r="M1690" s="840">
        <v>386508405</v>
      </c>
      <c r="N1690" s="839">
        <f>Indicadores[[#This Row],[Ventas]]/Indicadores[[#This Row],[Activos totales]]</f>
        <v>1.2376640836703952</v>
      </c>
      <c r="O1690" s="837">
        <f>IF(Indicadores[[#This Row],[Ventas]]=0,0,Indicadores[[#This Row],[EBITDA]]/Indicadores[[#This Row],[Ventas]])</f>
        <v>0.11512541363751197</v>
      </c>
      <c r="P1690" s="837">
        <f>IF(Indicadores[[#This Row],[Ventas]]=0,0,Indicadores[[#This Row],[UAI]]/Indicadores[[#This Row],[Ventas]])</f>
        <v>7.420520130732991E-2</v>
      </c>
      <c r="Q1690" s="837">
        <f>IFERROR(Indicadores[[#This Row],[Ventas]]/Indicadores[[#This Row],[Activos totales]],0)</f>
        <v>1.2376640836703952</v>
      </c>
    </row>
    <row r="1691" spans="1:17" hidden="1" x14ac:dyDescent="0.3">
      <c r="A1691" s="13" t="str">
        <f>MID(Indicadores[[#This Row],[CIIU]],2,4)</f>
        <v>9512</v>
      </c>
      <c r="B1691" s="13" t="str">
        <f>Indicadores[[#This Row],[CIIU]]&amp;Indicadores[[#This Row],[Año]]</f>
        <v>S95122019</v>
      </c>
      <c r="C1691" s="845" t="s">
        <v>3503</v>
      </c>
      <c r="D1691" s="845" t="s">
        <v>3511</v>
      </c>
      <c r="E1691" s="843">
        <v>2019</v>
      </c>
      <c r="F1691" s="844" t="s">
        <v>3515</v>
      </c>
      <c r="G1691" s="842" t="s">
        <v>3516</v>
      </c>
      <c r="H1691" s="843" t="s">
        <v>3517</v>
      </c>
      <c r="I1691" s="842" t="s">
        <v>3516</v>
      </c>
      <c r="J1691" s="840">
        <v>8841759</v>
      </c>
      <c r="K1691" s="840">
        <v>18183399</v>
      </c>
      <c r="L1691" s="841">
        <v>127632123</v>
      </c>
      <c r="M1691" s="840">
        <v>157302497</v>
      </c>
      <c r="N1691" s="839">
        <f>Indicadores[[#This Row],[Ventas]]/Indicadores[[#This Row],[Activos totales]]</f>
        <v>1.232467918754278</v>
      </c>
      <c r="O1691" s="837">
        <f>IF(Indicadores[[#This Row],[Ventas]]=0,0,Indicadores[[#This Row],[EBITDA]]/Indicadores[[#This Row],[Ventas]])</f>
        <v>0.11559510717747856</v>
      </c>
      <c r="P1691" s="837">
        <f>IF(Indicadores[[#This Row],[Ventas]]=0,0,Indicadores[[#This Row],[UAI]]/Indicadores[[#This Row],[Ventas]])</f>
        <v>5.6208637298364054E-2</v>
      </c>
      <c r="Q1691" s="837">
        <f>IFERROR(Indicadores[[#This Row],[Ventas]]/Indicadores[[#This Row],[Activos totales]],0)</f>
        <v>1.232467918754278</v>
      </c>
    </row>
    <row r="1692" spans="1:17" hidden="1" x14ac:dyDescent="0.3">
      <c r="A1692" s="13" t="str">
        <f>MID(Indicadores[[#This Row],[CIIU]],2,4)</f>
        <v>9523</v>
      </c>
      <c r="B1692" s="13" t="str">
        <f>Indicadores[[#This Row],[CIIU]]&amp;Indicadores[[#This Row],[Año]]</f>
        <v>S95232019</v>
      </c>
      <c r="C1692" s="845" t="s">
        <v>3503</v>
      </c>
      <c r="D1692" s="845" t="s">
        <v>3511</v>
      </c>
      <c r="E1692" s="843">
        <v>2019</v>
      </c>
      <c r="F1692" s="844" t="s">
        <v>3616</v>
      </c>
      <c r="G1692" s="842" t="s">
        <v>3617</v>
      </c>
      <c r="H1692" s="843" t="s">
        <v>3618</v>
      </c>
      <c r="I1692" s="842" t="s">
        <v>3617</v>
      </c>
      <c r="J1692" s="840">
        <v>90397</v>
      </c>
      <c r="K1692" s="840">
        <v>149289</v>
      </c>
      <c r="L1692" s="841">
        <v>3834245</v>
      </c>
      <c r="M1692" s="840">
        <v>1124506</v>
      </c>
      <c r="N1692" s="839">
        <f>Indicadores[[#This Row],[Ventas]]/Indicadores[[#This Row],[Activos totales]]</f>
        <v>0.29327964175476529</v>
      </c>
      <c r="O1692" s="837">
        <f>IF(Indicadores[[#This Row],[Ventas]]=0,0,Indicadores[[#This Row],[EBITDA]]/Indicadores[[#This Row],[Ventas]])</f>
        <v>0.13275962956178092</v>
      </c>
      <c r="P1692" s="837">
        <f>IF(Indicadores[[#This Row],[Ventas]]=0,0,Indicadores[[#This Row],[UAI]]/Indicadores[[#This Row],[Ventas]])</f>
        <v>8.0388188235545208E-2</v>
      </c>
      <c r="Q1692" s="837">
        <f>IFERROR(Indicadores[[#This Row],[Ventas]]/Indicadores[[#This Row],[Activos totales]],0)</f>
        <v>0.29327964175476529</v>
      </c>
    </row>
    <row r="1693" spans="1:17" hidden="1" x14ac:dyDescent="0.3">
      <c r="A1693" s="13" t="str">
        <f>MID(Indicadores[[#This Row],[CIIU]],2,4)</f>
        <v>9529</v>
      </c>
      <c r="B1693" s="13" t="str">
        <f>Indicadores[[#This Row],[CIIU]]&amp;Indicadores[[#This Row],[Año]]</f>
        <v>S95292019</v>
      </c>
      <c r="C1693" s="845" t="s">
        <v>3503</v>
      </c>
      <c r="D1693" s="845" t="s">
        <v>3511</v>
      </c>
      <c r="E1693" s="843">
        <v>2019</v>
      </c>
      <c r="F1693" s="844" t="s">
        <v>3521</v>
      </c>
      <c r="G1693" s="842" t="s">
        <v>3522</v>
      </c>
      <c r="H1693" s="843" t="s">
        <v>3523</v>
      </c>
      <c r="I1693" s="842" t="s">
        <v>3522</v>
      </c>
      <c r="J1693" s="840">
        <v>128748</v>
      </c>
      <c r="K1693" s="840">
        <v>129039</v>
      </c>
      <c r="L1693" s="841">
        <v>1736742</v>
      </c>
      <c r="M1693" s="840">
        <v>4716253</v>
      </c>
      <c r="N1693" s="839">
        <f>Indicadores[[#This Row],[Ventas]]/Indicadores[[#This Row],[Activos totales]]</f>
        <v>2.7155749098023771</v>
      </c>
      <c r="O1693" s="837">
        <f>IF(Indicadores[[#This Row],[Ventas]]=0,0,Indicadores[[#This Row],[EBITDA]]/Indicadores[[#This Row],[Ventas]])</f>
        <v>2.7360491474906032E-2</v>
      </c>
      <c r="P1693" s="837">
        <f>IF(Indicadores[[#This Row],[Ventas]]=0,0,Indicadores[[#This Row],[UAI]]/Indicadores[[#This Row],[Ventas]])</f>
        <v>2.7298789950411906E-2</v>
      </c>
      <c r="Q1693" s="837">
        <f>IFERROR(Indicadores[[#This Row],[Ventas]]/Indicadores[[#This Row],[Activos totales]],0)</f>
        <v>2.7155749098023771</v>
      </c>
    </row>
    <row r="1694" spans="1:17" hidden="1" x14ac:dyDescent="0.3">
      <c r="A1694" s="13" t="str">
        <f>MID(Indicadores[[#This Row],[CIIU]],2,4)</f>
        <v>9601</v>
      </c>
      <c r="B1694" s="13" t="str">
        <f>Indicadores[[#This Row],[CIIU]]&amp;Indicadores[[#This Row],[Año]]</f>
        <v>S96012019</v>
      </c>
      <c r="C1694" s="845" t="s">
        <v>3503</v>
      </c>
      <c r="D1694" s="845" t="s">
        <v>3524</v>
      </c>
      <c r="E1694" s="843">
        <v>2019</v>
      </c>
      <c r="F1694" s="844" t="s">
        <v>3525</v>
      </c>
      <c r="G1694" s="842" t="s">
        <v>3526</v>
      </c>
      <c r="H1694" s="843" t="s">
        <v>3527</v>
      </c>
      <c r="I1694" s="842" t="s">
        <v>3526</v>
      </c>
      <c r="J1694" s="840">
        <v>3274647</v>
      </c>
      <c r="K1694" s="840">
        <v>11654017</v>
      </c>
      <c r="L1694" s="841">
        <v>173931409</v>
      </c>
      <c r="M1694" s="840">
        <v>85291029</v>
      </c>
      <c r="N1694" s="839">
        <f>Indicadores[[#This Row],[Ventas]]/Indicadores[[#This Row],[Activos totales]]</f>
        <v>0.49037163264744205</v>
      </c>
      <c r="O1694" s="837">
        <f>IF(Indicadores[[#This Row],[Ventas]]=0,0,Indicadores[[#This Row],[EBITDA]]/Indicadores[[#This Row],[Ventas]])</f>
        <v>0.13663825066526047</v>
      </c>
      <c r="P1694" s="837">
        <f>IF(Indicadores[[#This Row],[Ventas]]=0,0,Indicadores[[#This Row],[UAI]]/Indicadores[[#This Row],[Ventas]])</f>
        <v>3.8393803409265938E-2</v>
      </c>
      <c r="Q1694" s="837">
        <f>IFERROR(Indicadores[[#This Row],[Ventas]]/Indicadores[[#This Row],[Activos totales]],0)</f>
        <v>0.49037163264744205</v>
      </c>
    </row>
    <row r="1695" spans="1:17" hidden="1" x14ac:dyDescent="0.3">
      <c r="A1695" s="13" t="str">
        <f>MID(Indicadores[[#This Row],[CIIU]],2,4)</f>
        <v>9602</v>
      </c>
      <c r="B1695" s="13" t="str">
        <f>Indicadores[[#This Row],[CIIU]]&amp;Indicadores[[#This Row],[Año]]</f>
        <v>S96022019</v>
      </c>
      <c r="C1695" s="845" t="s">
        <v>3503</v>
      </c>
      <c r="D1695" s="845" t="s">
        <v>3524</v>
      </c>
      <c r="E1695" s="843">
        <v>2019</v>
      </c>
      <c r="F1695" s="844" t="s">
        <v>3585</v>
      </c>
      <c r="G1695" s="842" t="s">
        <v>3586</v>
      </c>
      <c r="H1695" s="843" t="s">
        <v>3587</v>
      </c>
      <c r="I1695" s="842" t="s">
        <v>3586</v>
      </c>
      <c r="J1695" s="840">
        <v>0</v>
      </c>
      <c r="K1695" s="840">
        <v>0</v>
      </c>
      <c r="L1695" s="841">
        <v>124507</v>
      </c>
      <c r="M1695" s="840">
        <v>0</v>
      </c>
      <c r="N1695" s="839">
        <f>Indicadores[[#This Row],[Ventas]]/Indicadores[[#This Row],[Activos totales]]</f>
        <v>0</v>
      </c>
      <c r="O1695" s="837">
        <f>IF(Indicadores[[#This Row],[Ventas]]=0,0,Indicadores[[#This Row],[EBITDA]]/Indicadores[[#This Row],[Ventas]])</f>
        <v>0</v>
      </c>
      <c r="P1695" s="837">
        <f>IF(Indicadores[[#This Row],[Ventas]]=0,0,Indicadores[[#This Row],[UAI]]/Indicadores[[#This Row],[Ventas]])</f>
        <v>0</v>
      </c>
      <c r="Q1695" s="837">
        <f>IFERROR(Indicadores[[#This Row],[Ventas]]/Indicadores[[#This Row],[Activos totales]],0)</f>
        <v>0</v>
      </c>
    </row>
    <row r="1696" spans="1:17" hidden="1" x14ac:dyDescent="0.3">
      <c r="A1696" s="13" t="str">
        <f>MID(Indicadores[[#This Row],[CIIU]],2,4)</f>
        <v>9603</v>
      </c>
      <c r="B1696" s="13" t="str">
        <f>Indicadores[[#This Row],[CIIU]]&amp;Indicadores[[#This Row],[Año]]</f>
        <v>S96032019</v>
      </c>
      <c r="C1696" s="845" t="s">
        <v>3503</v>
      </c>
      <c r="D1696" s="845" t="s">
        <v>3524</v>
      </c>
      <c r="E1696" s="843">
        <v>2019</v>
      </c>
      <c r="F1696" s="844" t="s">
        <v>3528</v>
      </c>
      <c r="G1696" s="842" t="s">
        <v>3529</v>
      </c>
      <c r="H1696" s="843" t="s">
        <v>3530</v>
      </c>
      <c r="I1696" s="842" t="s">
        <v>3529</v>
      </c>
      <c r="J1696" s="840">
        <v>83638100</v>
      </c>
      <c r="K1696" s="840">
        <v>109688289</v>
      </c>
      <c r="L1696" s="841">
        <v>1295991076</v>
      </c>
      <c r="M1696" s="840">
        <v>965022277</v>
      </c>
      <c r="N1696" s="839">
        <f>Indicadores[[#This Row],[Ventas]]/Indicadores[[#This Row],[Activos totales]]</f>
        <v>0.74462108178899222</v>
      </c>
      <c r="O1696" s="837">
        <f>IF(Indicadores[[#This Row],[Ventas]]=0,0,Indicadores[[#This Row],[EBITDA]]/Indicadores[[#This Row],[Ventas]])</f>
        <v>0.11366399679496725</v>
      </c>
      <c r="P1696" s="837">
        <f>IF(Indicadores[[#This Row],[Ventas]]=0,0,Indicadores[[#This Row],[UAI]]/Indicadores[[#This Row],[Ventas]])</f>
        <v>8.6669605452020043E-2</v>
      </c>
      <c r="Q1696" s="837">
        <f>IFERROR(Indicadores[[#This Row],[Ventas]]/Indicadores[[#This Row],[Activos totales]],0)</f>
        <v>0.74462108178899222</v>
      </c>
    </row>
    <row r="1697" spans="1:17" hidden="1" x14ac:dyDescent="0.3">
      <c r="A1697" s="13" t="str">
        <f>MID(Indicadores[[#This Row],[CIIU]],2,4)</f>
        <v>9609</v>
      </c>
      <c r="B1697" s="13" t="str">
        <f>Indicadores[[#This Row],[CIIU]]&amp;Indicadores[[#This Row],[Año]]</f>
        <v>S96092019</v>
      </c>
      <c r="C1697" s="845" t="s">
        <v>3503</v>
      </c>
      <c r="D1697" s="845" t="s">
        <v>3524</v>
      </c>
      <c r="E1697" s="843">
        <v>2019</v>
      </c>
      <c r="F1697" s="844" t="s">
        <v>3531</v>
      </c>
      <c r="G1697" s="842" t="s">
        <v>3532</v>
      </c>
      <c r="H1697" s="843" t="s">
        <v>3533</v>
      </c>
      <c r="I1697" s="842" t="s">
        <v>3532</v>
      </c>
      <c r="J1697" s="840">
        <v>7567814</v>
      </c>
      <c r="K1697" s="840">
        <v>12675178</v>
      </c>
      <c r="L1697" s="841">
        <v>310476310</v>
      </c>
      <c r="M1697" s="840">
        <v>330812360</v>
      </c>
      <c r="N1697" s="839">
        <f>Indicadores[[#This Row],[Ventas]]/Indicadores[[#This Row],[Activos totales]]</f>
        <v>1.0654995223307053</v>
      </c>
      <c r="O1697" s="837">
        <f>IF(Indicadores[[#This Row],[Ventas]]=0,0,Indicadores[[#This Row],[EBITDA]]/Indicadores[[#This Row],[Ventas]])</f>
        <v>3.8315309621442195E-2</v>
      </c>
      <c r="P1697" s="837">
        <f>IF(Indicadores[[#This Row],[Ventas]]=0,0,Indicadores[[#This Row],[UAI]]/Indicadores[[#This Row],[Ventas]])</f>
        <v>2.2876454797517241E-2</v>
      </c>
      <c r="Q1697" s="837">
        <f>IFERROR(Indicadores[[#This Row],[Ventas]]/Indicadores[[#This Row],[Activos totales]],0)</f>
        <v>1.0654995223307053</v>
      </c>
    </row>
    <row r="1698" spans="1:17" hidden="1" x14ac:dyDescent="0.3">
      <c r="A1698" s="13" t="str">
        <f>MID(Indicadores[[#This Row],[CIIU]],2,4)</f>
        <v>9810</v>
      </c>
      <c r="B1698" s="13" t="str">
        <f>Indicadores[[#This Row],[CIIU]]&amp;Indicadores[[#This Row],[Año]]</f>
        <v>T98102019</v>
      </c>
      <c r="C1698" s="845" t="s">
        <v>3619</v>
      </c>
      <c r="D1698" s="845" t="s">
        <v>3620</v>
      </c>
      <c r="E1698" s="843">
        <v>2019</v>
      </c>
      <c r="F1698" s="844" t="s">
        <v>3621</v>
      </c>
      <c r="G1698" s="842" t="s">
        <v>3622</v>
      </c>
      <c r="H1698" s="843" t="s">
        <v>3623</v>
      </c>
      <c r="I1698" s="842" t="s">
        <v>3622</v>
      </c>
      <c r="J1698" s="840">
        <v>-16010</v>
      </c>
      <c r="K1698" s="840">
        <v>-12215</v>
      </c>
      <c r="L1698" s="841">
        <v>358314</v>
      </c>
      <c r="M1698" s="840">
        <v>721135</v>
      </c>
      <c r="N1698" s="839">
        <f>Indicadores[[#This Row],[Ventas]]/Indicadores[[#This Row],[Activos totales]]</f>
        <v>2.0125783530646304</v>
      </c>
      <c r="O1698" s="837">
        <f>IF(Indicadores[[#This Row],[Ventas]]=0,0,Indicadores[[#This Row],[EBITDA]]/Indicadores[[#This Row],[Ventas]])</f>
        <v>-1.6938575994785997E-2</v>
      </c>
      <c r="P1698" s="837">
        <f>IF(Indicadores[[#This Row],[Ventas]]=0,0,Indicadores[[#This Row],[UAI]]/Indicadores[[#This Row],[Ventas]])</f>
        <v>-2.2201113522433386E-2</v>
      </c>
      <c r="Q1698" s="837">
        <f>IFERROR(Indicadores[[#This Row],[Ventas]]/Indicadores[[#This Row],[Activos totales]],0)</f>
        <v>2.0125783530646304</v>
      </c>
    </row>
    <row r="1699" spans="1:17" hidden="1" x14ac:dyDescent="0.3">
      <c r="A1699" s="13" t="str">
        <f>MID(Indicadores[[#This Row],[CIIU]],2,4)</f>
        <v>9820</v>
      </c>
      <c r="B1699" s="13" t="str">
        <f>Indicadores[[#This Row],[CIIU]]&amp;Indicadores[[#This Row],[Año]]</f>
        <v>T98202019</v>
      </c>
      <c r="C1699" s="845" t="s">
        <v>3619</v>
      </c>
      <c r="D1699" s="845" t="s">
        <v>3620</v>
      </c>
      <c r="E1699" s="843">
        <v>2019</v>
      </c>
      <c r="F1699" s="844" t="s">
        <v>3624</v>
      </c>
      <c r="G1699" s="842" t="s">
        <v>3625</v>
      </c>
      <c r="H1699" s="843" t="s">
        <v>3626</v>
      </c>
      <c r="I1699" s="842" t="s">
        <v>3625</v>
      </c>
      <c r="J1699" s="840">
        <v>91292</v>
      </c>
      <c r="K1699" s="840">
        <v>70338</v>
      </c>
      <c r="L1699" s="841">
        <v>1501278</v>
      </c>
      <c r="M1699" s="840">
        <v>2055771</v>
      </c>
      <c r="N1699" s="839">
        <f>Indicadores[[#This Row],[Ventas]]/Indicadores[[#This Row],[Activos totales]]</f>
        <v>1.3693473160866942</v>
      </c>
      <c r="O1699" s="837">
        <f>IF(Indicadores[[#This Row],[Ventas]]=0,0,Indicadores[[#This Row],[EBITDA]]/Indicadores[[#This Row],[Ventas]])</f>
        <v>3.4214900395034269E-2</v>
      </c>
      <c r="P1699" s="837">
        <f>IF(Indicadores[[#This Row],[Ventas]]=0,0,Indicadores[[#This Row],[UAI]]/Indicadores[[#This Row],[Ventas]])</f>
        <v>4.4407669920433747E-2</v>
      </c>
      <c r="Q1699" s="837">
        <f>IFERROR(Indicadores[[#This Row],[Ventas]]/Indicadores[[#This Row],[Activos totales]],0)</f>
        <v>1.3693473160866942</v>
      </c>
    </row>
    <row r="1700" spans="1:17" hidden="1" x14ac:dyDescent="0.3">
      <c r="A1700" s="13" t="str">
        <f>MID(Indicadores[[#This Row],[CIIU]],2,4)</f>
        <v>9900</v>
      </c>
      <c r="B1700" s="13" t="str">
        <f>Indicadores[[#This Row],[CIIU]]&amp;Indicadores[[#This Row],[Año]]</f>
        <v>U99002019</v>
      </c>
      <c r="C1700" s="845" t="s">
        <v>3534</v>
      </c>
      <c r="D1700" s="845" t="s">
        <v>3535</v>
      </c>
      <c r="E1700" s="843">
        <v>2019</v>
      </c>
      <c r="F1700" s="844" t="s">
        <v>3536</v>
      </c>
      <c r="G1700" s="842" t="s">
        <v>3537</v>
      </c>
      <c r="H1700" s="843" t="s">
        <v>3538</v>
      </c>
      <c r="I1700" s="842" t="s">
        <v>3537</v>
      </c>
      <c r="J1700" s="840">
        <v>12566</v>
      </c>
      <c r="K1700" s="840">
        <v>2372</v>
      </c>
      <c r="L1700" s="841">
        <v>1729507</v>
      </c>
      <c r="M1700" s="840">
        <v>2661649</v>
      </c>
      <c r="N1700" s="839">
        <f>Indicadores[[#This Row],[Ventas]]/Indicadores[[#This Row],[Activos totales]]</f>
        <v>1.5389639937855122</v>
      </c>
      <c r="O1700" s="837">
        <f>IF(Indicadores[[#This Row],[Ventas]]=0,0,Indicadores[[#This Row],[EBITDA]]/Indicadores[[#This Row],[Ventas]])</f>
        <v>8.9117686066044019E-4</v>
      </c>
      <c r="P1700" s="837">
        <f>IF(Indicadores[[#This Row],[Ventas]]=0,0,Indicadores[[#This Row],[UAI]]/Indicadores[[#This Row],[Ventas]])</f>
        <v>4.7211334026387398E-3</v>
      </c>
      <c r="Q1700" s="837">
        <f>IFERROR(Indicadores[[#This Row],[Ventas]]/Indicadores[[#This Row],[Activos totales]],0)</f>
        <v>1.5389639937855122</v>
      </c>
    </row>
  </sheetData>
  <conditionalFormatting sqref="A1:A1048576">
    <cfRule type="duplicateValues" dxfId="17" priority="1"/>
  </conditionalFormatting>
  <pageMargins left="0.7" right="0.7" top="0.75" bottom="0.75" header="0.3" footer="0.3"/>
  <pageSetup orientation="portrait" horizontalDpi="360" verticalDpi="360"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46CC9-2D10-4485-B1C3-3D4E30FB74CF}">
  <sheetPr>
    <tabColor theme="4" tint="-0.249977111117893"/>
  </sheetPr>
  <dimension ref="A1:M78"/>
  <sheetViews>
    <sheetView showGridLines="0" zoomScale="80" zoomScaleNormal="80" zoomScaleSheetLayoutView="100" zoomScalePageLayoutView="85" workbookViewId="0">
      <selection activeCell="AE5" sqref="AE5"/>
    </sheetView>
  </sheetViews>
  <sheetFormatPr baseColWidth="10" defaultColWidth="2.26953125" defaultRowHeight="17" x14ac:dyDescent="0.35"/>
  <cols>
    <col min="1" max="1" width="4.7265625" style="256" customWidth="1"/>
    <col min="2" max="2" width="33.7265625" style="256" customWidth="1"/>
    <col min="3" max="3" width="30.26953125" style="256" customWidth="1"/>
    <col min="4" max="4" width="27.26953125" style="256" customWidth="1"/>
    <col min="5" max="9" width="20.26953125" style="256" customWidth="1"/>
    <col min="10" max="12" width="10" style="256" customWidth="1"/>
    <col min="13" max="13" width="50.26953125" style="256" customWidth="1"/>
    <col min="14" max="24" width="2.26953125" style="256"/>
    <col min="25" max="25" width="8.7265625" style="256" customWidth="1"/>
    <col min="26" max="16384" width="2.26953125" style="256"/>
  </cols>
  <sheetData>
    <row r="1" spans="1:13" ht="39" customHeight="1" x14ac:dyDescent="0.35">
      <c r="A1" s="940" t="s">
        <v>20</v>
      </c>
      <c r="B1" s="941" t="s">
        <v>21</v>
      </c>
      <c r="C1" s="942" t="s">
        <v>22</v>
      </c>
      <c r="D1" s="941" t="s">
        <v>23</v>
      </c>
      <c r="E1" s="942" t="s">
        <v>24</v>
      </c>
      <c r="F1" s="942"/>
      <c r="G1" s="942"/>
      <c r="H1" s="942"/>
      <c r="I1" s="942"/>
      <c r="J1" s="915" t="s">
        <v>25</v>
      </c>
      <c r="K1" s="915"/>
      <c r="L1" s="915"/>
      <c r="M1" s="907" t="str">
        <f>+'1'!M1:M2</f>
        <v>Observaciones generales  y/o afectaciones derivadas de la emergencia sanitaria COVID-19</v>
      </c>
    </row>
    <row r="2" spans="1:13" ht="39.65" customHeight="1" x14ac:dyDescent="0.35">
      <c r="A2" s="940"/>
      <c r="B2" s="941"/>
      <c r="C2" s="942"/>
      <c r="D2" s="941"/>
      <c r="E2" s="503">
        <v>1</v>
      </c>
      <c r="F2" s="504">
        <v>2</v>
      </c>
      <c r="G2" s="505">
        <v>3</v>
      </c>
      <c r="H2" s="506">
        <v>4</v>
      </c>
      <c r="I2" s="507">
        <v>5</v>
      </c>
      <c r="J2" s="772">
        <v>2022</v>
      </c>
      <c r="K2" s="772">
        <v>2023</v>
      </c>
      <c r="L2" s="772">
        <v>2024</v>
      </c>
      <c r="M2" s="907"/>
    </row>
    <row r="3" spans="1:13" ht="33" customHeight="1" x14ac:dyDescent="0.35">
      <c r="A3" s="931" t="s">
        <v>75</v>
      </c>
      <c r="B3" s="932"/>
      <c r="C3" s="932"/>
      <c r="D3" s="932"/>
      <c r="E3" s="932"/>
      <c r="F3" s="932"/>
      <c r="G3" s="932"/>
      <c r="H3" s="932"/>
      <c r="I3" s="932"/>
      <c r="J3" s="932"/>
      <c r="K3" s="932"/>
      <c r="L3" s="932"/>
      <c r="M3" s="933"/>
    </row>
    <row r="4" spans="1:13" s="510" customFormat="1" ht="18" customHeight="1" x14ac:dyDescent="0.35">
      <c r="A4" s="934">
        <v>1</v>
      </c>
      <c r="B4" s="937" t="s">
        <v>76</v>
      </c>
      <c r="C4" s="910" t="s">
        <v>77</v>
      </c>
      <c r="D4" s="910" t="s">
        <v>78</v>
      </c>
      <c r="E4" s="508"/>
      <c r="F4" s="508" t="s">
        <v>46</v>
      </c>
      <c r="G4" s="508"/>
      <c r="H4" s="508"/>
      <c r="I4" s="508"/>
      <c r="J4" s="509"/>
      <c r="K4" s="509"/>
      <c r="L4" s="509"/>
      <c r="M4" s="911"/>
    </row>
    <row r="5" spans="1:13" s="510" customFormat="1" ht="153" x14ac:dyDescent="0.35">
      <c r="A5" s="935"/>
      <c r="B5" s="938"/>
      <c r="C5" s="910"/>
      <c r="D5" s="910"/>
      <c r="E5" s="770" t="s">
        <v>79</v>
      </c>
      <c r="F5" s="770" t="s">
        <v>80</v>
      </c>
      <c r="G5" s="770" t="s">
        <v>81</v>
      </c>
      <c r="H5" s="770" t="s">
        <v>82</v>
      </c>
      <c r="I5" s="770" t="s">
        <v>83</v>
      </c>
      <c r="J5" s="511"/>
      <c r="K5" s="511"/>
      <c r="L5" s="511"/>
      <c r="M5" s="911"/>
    </row>
    <row r="6" spans="1:13" s="510" customFormat="1" ht="17.649999999999999" customHeight="1" x14ac:dyDescent="0.35">
      <c r="A6" s="935"/>
      <c r="B6" s="938"/>
      <c r="C6" s="910" t="s">
        <v>84</v>
      </c>
      <c r="D6" s="910" t="s">
        <v>85</v>
      </c>
      <c r="E6" s="508"/>
      <c r="F6" s="508"/>
      <c r="G6" s="508"/>
      <c r="H6" s="508"/>
      <c r="I6" s="508"/>
      <c r="J6" s="509"/>
      <c r="K6" s="509"/>
      <c r="L6" s="509"/>
      <c r="M6" s="911"/>
    </row>
    <row r="7" spans="1:13" s="510" customFormat="1" ht="136" x14ac:dyDescent="0.35">
      <c r="A7" s="935"/>
      <c r="B7" s="938"/>
      <c r="C7" s="910"/>
      <c r="D7" s="910"/>
      <c r="E7" s="770" t="s">
        <v>86</v>
      </c>
      <c r="F7" s="770" t="s">
        <v>80</v>
      </c>
      <c r="G7" s="770" t="s">
        <v>87</v>
      </c>
      <c r="H7" s="770" t="s">
        <v>88</v>
      </c>
      <c r="I7" s="770" t="s">
        <v>89</v>
      </c>
      <c r="J7" s="511"/>
      <c r="K7" s="511"/>
      <c r="L7" s="511"/>
      <c r="M7" s="911"/>
    </row>
    <row r="8" spans="1:13" s="510" customFormat="1" ht="17.649999999999999" customHeight="1" x14ac:dyDescent="0.35">
      <c r="A8" s="935"/>
      <c r="B8" s="938"/>
      <c r="C8" s="910" t="s">
        <v>90</v>
      </c>
      <c r="D8" s="910" t="s">
        <v>91</v>
      </c>
      <c r="E8" s="508"/>
      <c r="F8" s="508"/>
      <c r="G8" s="508"/>
      <c r="H8" s="508"/>
      <c r="I8" s="508"/>
      <c r="J8" s="509"/>
      <c r="K8" s="509"/>
      <c r="L8" s="509"/>
      <c r="M8" s="911"/>
    </row>
    <row r="9" spans="1:13" s="510" customFormat="1" ht="76.150000000000006" customHeight="1" x14ac:dyDescent="0.35">
      <c r="A9" s="936"/>
      <c r="B9" s="939"/>
      <c r="C9" s="910"/>
      <c r="D9" s="910"/>
      <c r="E9" s="770" t="s">
        <v>47</v>
      </c>
      <c r="F9" s="770" t="s">
        <v>92</v>
      </c>
      <c r="G9" s="512" t="s">
        <v>93</v>
      </c>
      <c r="H9" s="512" t="s">
        <v>94</v>
      </c>
      <c r="I9" s="770" t="s">
        <v>95</v>
      </c>
      <c r="J9" s="511"/>
      <c r="K9" s="511"/>
      <c r="L9" s="511"/>
      <c r="M9" s="911"/>
    </row>
    <row r="10" spans="1:13" s="510" customFormat="1" ht="17.649999999999999" customHeight="1" x14ac:dyDescent="0.35">
      <c r="A10" s="908">
        <v>2</v>
      </c>
      <c r="B10" s="909" t="s">
        <v>96</v>
      </c>
      <c r="C10" s="943" t="s">
        <v>97</v>
      </c>
      <c r="D10" s="910" t="s">
        <v>98</v>
      </c>
      <c r="E10" s="508"/>
      <c r="F10" s="508"/>
      <c r="G10" s="508"/>
      <c r="H10" s="508"/>
      <c r="I10" s="508"/>
      <c r="J10" s="509"/>
      <c r="K10" s="509"/>
      <c r="L10" s="509"/>
      <c r="M10" s="944"/>
    </row>
    <row r="11" spans="1:13" s="510" customFormat="1" ht="37.15" customHeight="1" x14ac:dyDescent="0.35">
      <c r="A11" s="908"/>
      <c r="B11" s="909"/>
      <c r="C11" s="943"/>
      <c r="D11" s="910"/>
      <c r="E11" s="770" t="s">
        <v>99</v>
      </c>
      <c r="F11" s="770" t="s">
        <v>100</v>
      </c>
      <c r="G11" s="513" t="s">
        <v>101</v>
      </c>
      <c r="H11" s="513" t="s">
        <v>102</v>
      </c>
      <c r="I11" s="514" t="s">
        <v>103</v>
      </c>
      <c r="J11" s="511"/>
      <c r="K11" s="511"/>
      <c r="L11" s="511"/>
      <c r="M11" s="944"/>
    </row>
    <row r="12" spans="1:13" s="510" customFormat="1" ht="17.649999999999999" customHeight="1" x14ac:dyDescent="0.35">
      <c r="A12" s="908"/>
      <c r="B12" s="909"/>
      <c r="C12" s="945" t="s">
        <v>104</v>
      </c>
      <c r="D12" s="910"/>
      <c r="E12" s="515"/>
      <c r="F12" s="516"/>
      <c r="G12" s="516"/>
      <c r="H12" s="516"/>
      <c r="I12" s="516"/>
      <c r="J12" s="517"/>
      <c r="K12" s="517"/>
      <c r="L12" s="517"/>
      <c r="M12" s="911"/>
    </row>
    <row r="13" spans="1:13" s="510" customFormat="1" ht="37.9" customHeight="1" x14ac:dyDescent="0.35">
      <c r="A13" s="908"/>
      <c r="B13" s="909"/>
      <c r="C13" s="945"/>
      <c r="D13" s="910"/>
      <c r="E13" s="770" t="s">
        <v>99</v>
      </c>
      <c r="F13" s="770" t="s">
        <v>100</v>
      </c>
      <c r="G13" s="513" t="s">
        <v>101</v>
      </c>
      <c r="H13" s="513" t="s">
        <v>102</v>
      </c>
      <c r="I13" s="514" t="s">
        <v>103</v>
      </c>
      <c r="J13" s="511"/>
      <c r="K13" s="511"/>
      <c r="L13" s="511"/>
      <c r="M13" s="911"/>
    </row>
    <row r="14" spans="1:13" s="510" customFormat="1" ht="17.649999999999999" customHeight="1" x14ac:dyDescent="0.35">
      <c r="A14" s="908">
        <v>3</v>
      </c>
      <c r="B14" s="909" t="s">
        <v>105</v>
      </c>
      <c r="C14" s="910" t="s">
        <v>106</v>
      </c>
      <c r="D14" s="910" t="s">
        <v>107</v>
      </c>
      <c r="E14" s="478"/>
      <c r="F14" s="478"/>
      <c r="G14" s="478"/>
      <c r="H14" s="478"/>
      <c r="I14" s="478"/>
      <c r="J14" s="517"/>
      <c r="K14" s="517"/>
      <c r="L14" s="517"/>
      <c r="M14" s="948"/>
    </row>
    <row r="15" spans="1:13" s="510" customFormat="1" ht="65.5" customHeight="1" x14ac:dyDescent="0.35">
      <c r="A15" s="908"/>
      <c r="B15" s="909"/>
      <c r="C15" s="910"/>
      <c r="D15" s="910"/>
      <c r="E15" s="770" t="s">
        <v>47</v>
      </c>
      <c r="F15" s="518" t="s">
        <v>108</v>
      </c>
      <c r="G15" s="770" t="s">
        <v>109</v>
      </c>
      <c r="H15" s="770" t="s">
        <v>110</v>
      </c>
      <c r="I15" s="518" t="s">
        <v>111</v>
      </c>
      <c r="J15" s="511"/>
      <c r="K15" s="511"/>
      <c r="L15" s="511"/>
      <c r="M15" s="948"/>
    </row>
    <row r="16" spans="1:13" ht="17.649999999999999" customHeight="1" x14ac:dyDescent="0.35">
      <c r="A16" s="946">
        <v>4</v>
      </c>
      <c r="B16" s="909" t="s">
        <v>112</v>
      </c>
      <c r="C16" s="910" t="s">
        <v>113</v>
      </c>
      <c r="D16" s="947" t="s">
        <v>114</v>
      </c>
      <c r="E16" s="515"/>
      <c r="F16" s="516"/>
      <c r="G16" s="516"/>
      <c r="H16" s="516"/>
      <c r="I16" s="516"/>
      <c r="J16" s="517"/>
      <c r="K16" s="517"/>
      <c r="L16" s="517"/>
      <c r="M16" s="948"/>
    </row>
    <row r="17" spans="1:13" ht="106.15" customHeight="1" x14ac:dyDescent="0.35">
      <c r="A17" s="946"/>
      <c r="B17" s="909"/>
      <c r="C17" s="910"/>
      <c r="D17" s="947"/>
      <c r="E17" s="773" t="s">
        <v>115</v>
      </c>
      <c r="F17" s="773" t="s">
        <v>116</v>
      </c>
      <c r="G17" s="773" t="s">
        <v>117</v>
      </c>
      <c r="H17" s="519" t="s">
        <v>118</v>
      </c>
      <c r="I17" s="519" t="s">
        <v>119</v>
      </c>
      <c r="J17" s="511"/>
      <c r="K17" s="511"/>
      <c r="L17" s="511"/>
      <c r="M17" s="948"/>
    </row>
    <row r="18" spans="1:13" ht="18" customHeight="1" x14ac:dyDescent="0.35">
      <c r="A18" s="949">
        <v>5</v>
      </c>
      <c r="B18" s="909" t="s">
        <v>120</v>
      </c>
      <c r="C18" s="951" t="s">
        <v>121</v>
      </c>
      <c r="D18" s="951" t="s">
        <v>122</v>
      </c>
      <c r="E18" s="478"/>
      <c r="F18" s="478"/>
      <c r="G18" s="478"/>
      <c r="H18" s="478"/>
      <c r="I18" s="478"/>
      <c r="J18" s="517"/>
      <c r="K18" s="517"/>
      <c r="L18" s="517"/>
      <c r="M18" s="774"/>
    </row>
    <row r="19" spans="1:13" ht="81.75" customHeight="1" x14ac:dyDescent="0.35">
      <c r="A19" s="950"/>
      <c r="B19" s="909"/>
      <c r="C19" s="951"/>
      <c r="D19" s="951"/>
      <c r="E19" s="775" t="s">
        <v>123</v>
      </c>
      <c r="F19" s="775" t="s">
        <v>124</v>
      </c>
      <c r="G19" s="775" t="s">
        <v>125</v>
      </c>
      <c r="H19" s="775" t="s">
        <v>126</v>
      </c>
      <c r="I19" s="520" t="s">
        <v>127</v>
      </c>
      <c r="J19" s="511"/>
      <c r="K19" s="511"/>
      <c r="L19" s="511"/>
      <c r="M19" s="774"/>
    </row>
    <row r="20" spans="1:13" s="480" customFormat="1" ht="17.649999999999999" customHeight="1" x14ac:dyDescent="0.35">
      <c r="A20" s="908">
        <v>6</v>
      </c>
      <c r="B20" s="909" t="s">
        <v>128</v>
      </c>
      <c r="C20" s="910" t="s">
        <v>129</v>
      </c>
      <c r="D20" s="910" t="s">
        <v>130</v>
      </c>
      <c r="E20" s="478"/>
      <c r="F20" s="478"/>
      <c r="G20" s="478"/>
      <c r="H20" s="478"/>
      <c r="I20" s="478"/>
      <c r="J20" s="479"/>
      <c r="K20" s="479"/>
      <c r="L20" s="479"/>
      <c r="M20" s="948"/>
    </row>
    <row r="21" spans="1:13" s="480" customFormat="1" ht="89.5" customHeight="1" x14ac:dyDescent="0.35">
      <c r="A21" s="908"/>
      <c r="B21" s="909"/>
      <c r="C21" s="910"/>
      <c r="D21" s="910"/>
      <c r="E21" s="770" t="s">
        <v>131</v>
      </c>
      <c r="F21" s="770" t="s">
        <v>132</v>
      </c>
      <c r="G21" s="770" t="s">
        <v>133</v>
      </c>
      <c r="H21" s="770" t="s">
        <v>134</v>
      </c>
      <c r="I21" s="770" t="s">
        <v>135</v>
      </c>
      <c r="J21" s="481"/>
      <c r="K21" s="481"/>
      <c r="L21" s="481"/>
      <c r="M21" s="948"/>
    </row>
    <row r="22" spans="1:13" ht="33" customHeight="1" x14ac:dyDescent="0.35">
      <c r="A22" s="931" t="s">
        <v>136</v>
      </c>
      <c r="B22" s="932"/>
      <c r="C22" s="932"/>
      <c r="D22" s="932"/>
      <c r="E22" s="932"/>
      <c r="F22" s="932"/>
      <c r="G22" s="932"/>
      <c r="H22" s="932"/>
      <c r="I22" s="932"/>
      <c r="J22" s="932"/>
      <c r="K22" s="932"/>
      <c r="L22" s="932"/>
      <c r="M22" s="933"/>
    </row>
    <row r="23" spans="1:13" ht="17.649999999999999" customHeight="1" x14ac:dyDescent="0.35">
      <c r="A23" s="946">
        <v>6</v>
      </c>
      <c r="B23" s="909" t="s">
        <v>137</v>
      </c>
      <c r="C23" s="910" t="s">
        <v>138</v>
      </c>
      <c r="D23" s="910" t="s">
        <v>139</v>
      </c>
      <c r="E23" s="478"/>
      <c r="F23" s="478"/>
      <c r="G23" s="478"/>
      <c r="H23" s="478"/>
      <c r="I23" s="478"/>
      <c r="J23" s="517"/>
      <c r="K23" s="517"/>
      <c r="L23" s="517"/>
      <c r="M23" s="911"/>
    </row>
    <row r="24" spans="1:13" ht="120" customHeight="1" x14ac:dyDescent="0.35">
      <c r="A24" s="946"/>
      <c r="B24" s="909"/>
      <c r="C24" s="910"/>
      <c r="D24" s="910"/>
      <c r="E24" s="770" t="s">
        <v>140</v>
      </c>
      <c r="F24" s="770" t="s">
        <v>141</v>
      </c>
      <c r="G24" s="770" t="s">
        <v>142</v>
      </c>
      <c r="H24" s="770" t="s">
        <v>143</v>
      </c>
      <c r="I24" s="521" t="s">
        <v>144</v>
      </c>
      <c r="J24" s="511"/>
      <c r="K24" s="511"/>
      <c r="L24" s="511"/>
      <c r="M24" s="911"/>
    </row>
    <row r="25" spans="1:13" ht="33" customHeight="1" x14ac:dyDescent="0.35">
      <c r="A25" s="931" t="s">
        <v>145</v>
      </c>
      <c r="B25" s="932"/>
      <c r="C25" s="932"/>
      <c r="D25" s="932"/>
      <c r="E25" s="932"/>
      <c r="F25" s="932"/>
      <c r="G25" s="932"/>
      <c r="H25" s="932"/>
      <c r="I25" s="932"/>
      <c r="J25" s="932"/>
      <c r="K25" s="932"/>
      <c r="L25" s="932"/>
      <c r="M25" s="933"/>
    </row>
    <row r="26" spans="1:13" s="523" customFormat="1" ht="17.649999999999999" customHeight="1" x14ac:dyDescent="0.45">
      <c r="A26" s="908">
        <v>7</v>
      </c>
      <c r="B26" s="909" t="s">
        <v>146</v>
      </c>
      <c r="C26" s="945" t="s">
        <v>147</v>
      </c>
      <c r="D26" s="910" t="s">
        <v>148</v>
      </c>
      <c r="E26" s="522"/>
      <c r="F26" s="522" t="s">
        <v>149</v>
      </c>
      <c r="G26" s="522"/>
      <c r="H26" s="522"/>
      <c r="I26" s="522"/>
      <c r="J26" s="517"/>
      <c r="K26" s="517"/>
      <c r="L26" s="517"/>
      <c r="M26" s="911"/>
    </row>
    <row r="27" spans="1:13" s="523" customFormat="1" ht="59.5" customHeight="1" x14ac:dyDescent="0.45">
      <c r="A27" s="908"/>
      <c r="B27" s="909"/>
      <c r="C27" s="945"/>
      <c r="D27" s="910"/>
      <c r="E27" s="770" t="s">
        <v>150</v>
      </c>
      <c r="F27" s="770" t="s">
        <v>151</v>
      </c>
      <c r="G27" s="770" t="s">
        <v>152</v>
      </c>
      <c r="H27" s="770" t="s">
        <v>153</v>
      </c>
      <c r="I27" s="770" t="s">
        <v>154</v>
      </c>
      <c r="J27" s="511"/>
      <c r="K27" s="511"/>
      <c r="L27" s="511"/>
      <c r="M27" s="911"/>
    </row>
    <row r="28" spans="1:13" s="480" customFormat="1" ht="17.649999999999999" customHeight="1" x14ac:dyDescent="0.35">
      <c r="A28" s="908">
        <v>8</v>
      </c>
      <c r="B28" s="909" t="s">
        <v>155</v>
      </c>
      <c r="C28" s="910" t="s">
        <v>156</v>
      </c>
      <c r="D28" s="910"/>
      <c r="E28" s="478"/>
      <c r="F28" s="478"/>
      <c r="G28" s="478"/>
      <c r="H28" s="478"/>
      <c r="I28" s="478"/>
      <c r="J28" s="479"/>
      <c r="K28" s="479"/>
      <c r="L28" s="479"/>
      <c r="M28" s="911"/>
    </row>
    <row r="29" spans="1:13" s="480" customFormat="1" ht="158.5" customHeight="1" x14ac:dyDescent="0.35">
      <c r="A29" s="908"/>
      <c r="B29" s="909"/>
      <c r="C29" s="910"/>
      <c r="D29" s="910"/>
      <c r="E29" s="770" t="s">
        <v>157</v>
      </c>
      <c r="F29" s="770" t="s">
        <v>158</v>
      </c>
      <c r="G29" s="770" t="s">
        <v>159</v>
      </c>
      <c r="H29" s="770" t="s">
        <v>160</v>
      </c>
      <c r="I29" s="770" t="s">
        <v>161</v>
      </c>
      <c r="J29" s="481"/>
      <c r="K29" s="481"/>
      <c r="L29" s="481"/>
      <c r="M29" s="911"/>
    </row>
    <row r="30" spans="1:13" ht="33" customHeight="1" x14ac:dyDescent="0.35">
      <c r="A30" s="931" t="s">
        <v>162</v>
      </c>
      <c r="B30" s="932"/>
      <c r="C30" s="932"/>
      <c r="D30" s="932"/>
      <c r="E30" s="932"/>
      <c r="F30" s="932"/>
      <c r="G30" s="932"/>
      <c r="H30" s="932"/>
      <c r="I30" s="932"/>
      <c r="J30" s="932"/>
      <c r="K30" s="932"/>
      <c r="L30" s="932"/>
      <c r="M30" s="933"/>
    </row>
    <row r="31" spans="1:13" s="480" customFormat="1" ht="17.649999999999999" customHeight="1" x14ac:dyDescent="0.35">
      <c r="A31" s="908">
        <v>9</v>
      </c>
      <c r="B31" s="909" t="s">
        <v>163</v>
      </c>
      <c r="C31" s="945" t="s">
        <v>164</v>
      </c>
      <c r="D31" s="910" t="s">
        <v>165</v>
      </c>
      <c r="E31" s="516"/>
      <c r="F31" s="516" t="s">
        <v>149</v>
      </c>
      <c r="G31" s="516"/>
      <c r="H31" s="516"/>
      <c r="I31" s="516"/>
      <c r="J31" s="479"/>
      <c r="K31" s="479"/>
      <c r="L31" s="479"/>
      <c r="M31" s="911"/>
    </row>
    <row r="32" spans="1:13" s="480" customFormat="1" ht="96" customHeight="1" x14ac:dyDescent="0.35">
      <c r="A32" s="908"/>
      <c r="B32" s="909"/>
      <c r="C32" s="945"/>
      <c r="D32" s="910"/>
      <c r="E32" s="770" t="s">
        <v>166</v>
      </c>
      <c r="F32" s="770" t="s">
        <v>167</v>
      </c>
      <c r="G32" s="770" t="s">
        <v>168</v>
      </c>
      <c r="H32" s="770" t="s">
        <v>169</v>
      </c>
      <c r="I32" s="770" t="s">
        <v>170</v>
      </c>
      <c r="J32" s="481"/>
      <c r="K32" s="481"/>
      <c r="L32" s="481"/>
      <c r="M32" s="911"/>
    </row>
    <row r="33" spans="1:13" ht="33" customHeight="1" x14ac:dyDescent="0.35">
      <c r="A33" s="931" t="s">
        <v>171</v>
      </c>
      <c r="B33" s="932"/>
      <c r="C33" s="932"/>
      <c r="D33" s="932"/>
      <c r="E33" s="932"/>
      <c r="F33" s="932"/>
      <c r="G33" s="932"/>
      <c r="H33" s="932"/>
      <c r="I33" s="932"/>
      <c r="J33" s="932"/>
      <c r="K33" s="932"/>
      <c r="L33" s="932"/>
      <c r="M33" s="933"/>
    </row>
    <row r="34" spans="1:13" s="296" customFormat="1" ht="17.649999999999999" customHeight="1" x14ac:dyDescent="0.45">
      <c r="A34" s="934">
        <v>10</v>
      </c>
      <c r="B34" s="937" t="s">
        <v>172</v>
      </c>
      <c r="C34" s="945" t="s">
        <v>173</v>
      </c>
      <c r="D34" s="910" t="s">
        <v>174</v>
      </c>
      <c r="E34" s="516"/>
      <c r="F34" s="516" t="s">
        <v>149</v>
      </c>
      <c r="G34" s="516"/>
      <c r="H34" s="516"/>
      <c r="I34" s="516"/>
      <c r="J34" s="517"/>
      <c r="K34" s="517"/>
      <c r="L34" s="517"/>
      <c r="M34" s="911"/>
    </row>
    <row r="35" spans="1:13" s="296" customFormat="1" ht="88.9" customHeight="1" x14ac:dyDescent="0.45">
      <c r="A35" s="936"/>
      <c r="B35" s="939"/>
      <c r="C35" s="945"/>
      <c r="D35" s="910"/>
      <c r="E35" s="521" t="s">
        <v>175</v>
      </c>
      <c r="F35" s="770" t="s">
        <v>176</v>
      </c>
      <c r="G35" s="770" t="s">
        <v>177</v>
      </c>
      <c r="H35" s="524" t="s">
        <v>178</v>
      </c>
      <c r="I35" s="525" t="s">
        <v>179</v>
      </c>
      <c r="J35" s="511"/>
      <c r="K35" s="511"/>
      <c r="L35" s="511"/>
      <c r="M35" s="911"/>
    </row>
    <row r="36" spans="1:13" s="523" customFormat="1" ht="17.649999999999999" customHeight="1" x14ac:dyDescent="0.45">
      <c r="A36" s="908">
        <v>11</v>
      </c>
      <c r="B36" s="909" t="s">
        <v>180</v>
      </c>
      <c r="C36" s="952" t="s">
        <v>181</v>
      </c>
      <c r="D36" s="910" t="s">
        <v>182</v>
      </c>
      <c r="E36" s="522"/>
      <c r="F36" s="522" t="s">
        <v>149</v>
      </c>
      <c r="G36" s="522"/>
      <c r="H36" s="522"/>
      <c r="I36" s="522"/>
      <c r="J36" s="517"/>
      <c r="K36" s="517"/>
      <c r="L36" s="517"/>
      <c r="M36" s="911"/>
    </row>
    <row r="37" spans="1:13" s="523" customFormat="1" ht="76.900000000000006" customHeight="1" x14ac:dyDescent="0.45">
      <c r="A37" s="908"/>
      <c r="B37" s="909"/>
      <c r="C37" s="952"/>
      <c r="D37" s="910"/>
      <c r="E37" s="526" t="s">
        <v>183</v>
      </c>
      <c r="F37" s="526">
        <v>4</v>
      </c>
      <c r="G37" s="526">
        <v>3</v>
      </c>
      <c r="H37" s="526">
        <v>2</v>
      </c>
      <c r="I37" s="526">
        <v>1</v>
      </c>
      <c r="J37" s="481"/>
      <c r="K37" s="481"/>
      <c r="L37" s="481"/>
      <c r="M37" s="911"/>
    </row>
    <row r="38" spans="1:13" s="523" customFormat="1" ht="17.649999999999999" customHeight="1" x14ac:dyDescent="0.45">
      <c r="A38" s="908">
        <v>12</v>
      </c>
      <c r="B38" s="909" t="s">
        <v>184</v>
      </c>
      <c r="C38" s="952" t="s">
        <v>185</v>
      </c>
      <c r="D38" s="947" t="s">
        <v>186</v>
      </c>
      <c r="E38" s="516"/>
      <c r="F38" s="516" t="s">
        <v>149</v>
      </c>
      <c r="G38" s="516"/>
      <c r="H38" s="516"/>
      <c r="I38" s="516"/>
      <c r="J38" s="479"/>
      <c r="K38" s="479"/>
      <c r="L38" s="479"/>
      <c r="M38" s="911"/>
    </row>
    <row r="39" spans="1:13" s="523" customFormat="1" ht="70.900000000000006" customHeight="1" x14ac:dyDescent="0.45">
      <c r="A39" s="908"/>
      <c r="B39" s="909"/>
      <c r="C39" s="952"/>
      <c r="D39" s="947"/>
      <c r="E39" s="770" t="s">
        <v>187</v>
      </c>
      <c r="F39" s="524" t="s">
        <v>188</v>
      </c>
      <c r="G39" s="527" t="s">
        <v>189</v>
      </c>
      <c r="H39" s="770" t="s">
        <v>190</v>
      </c>
      <c r="I39" s="525" t="s">
        <v>191</v>
      </c>
      <c r="J39" s="481"/>
      <c r="K39" s="481"/>
      <c r="L39" s="481"/>
      <c r="M39" s="911"/>
    </row>
    <row r="40" spans="1:13" ht="33" customHeight="1" x14ac:dyDescent="0.35">
      <c r="A40" s="931" t="s">
        <v>192</v>
      </c>
      <c r="B40" s="932"/>
      <c r="C40" s="932"/>
      <c r="D40" s="932"/>
      <c r="E40" s="932"/>
      <c r="F40" s="932"/>
      <c r="G40" s="932"/>
      <c r="H40" s="932"/>
      <c r="I40" s="932"/>
      <c r="J40" s="932"/>
      <c r="K40" s="932"/>
      <c r="L40" s="932"/>
      <c r="M40" s="933"/>
    </row>
    <row r="41" spans="1:13" s="523" customFormat="1" ht="17.649999999999999" customHeight="1" x14ac:dyDescent="0.45">
      <c r="A41" s="908">
        <v>13</v>
      </c>
      <c r="B41" s="909" t="s">
        <v>193</v>
      </c>
      <c r="C41" s="945" t="s">
        <v>194</v>
      </c>
      <c r="D41" s="910" t="s">
        <v>195</v>
      </c>
      <c r="E41" s="516"/>
      <c r="F41" s="516" t="s">
        <v>149</v>
      </c>
      <c r="G41" s="516"/>
      <c r="H41" s="516"/>
      <c r="I41" s="516"/>
      <c r="J41" s="479"/>
      <c r="K41" s="479"/>
      <c r="L41" s="479"/>
      <c r="M41" s="911"/>
    </row>
    <row r="42" spans="1:13" s="523" customFormat="1" ht="131.5" customHeight="1" x14ac:dyDescent="0.45">
      <c r="A42" s="908"/>
      <c r="B42" s="909"/>
      <c r="C42" s="945"/>
      <c r="D42" s="910"/>
      <c r="E42" s="770" t="s">
        <v>196</v>
      </c>
      <c r="F42" s="770" t="s">
        <v>197</v>
      </c>
      <c r="G42" s="770" t="s">
        <v>198</v>
      </c>
      <c r="H42" s="770" t="s">
        <v>199</v>
      </c>
      <c r="I42" s="770" t="s">
        <v>200</v>
      </c>
      <c r="J42" s="481"/>
      <c r="K42" s="481"/>
      <c r="L42" s="481"/>
      <c r="M42" s="911"/>
    </row>
    <row r="43" spans="1:13" s="523" customFormat="1" ht="17.649999999999999" customHeight="1" x14ac:dyDescent="0.45">
      <c r="A43" s="908">
        <v>14</v>
      </c>
      <c r="B43" s="909" t="s">
        <v>201</v>
      </c>
      <c r="C43" s="945" t="s">
        <v>202</v>
      </c>
      <c r="D43" s="910" t="s">
        <v>203</v>
      </c>
      <c r="E43" s="516"/>
      <c r="F43" s="516" t="s">
        <v>204</v>
      </c>
      <c r="G43" s="516"/>
      <c r="H43" s="516"/>
      <c r="I43" s="516"/>
      <c r="J43" s="479"/>
      <c r="K43" s="479"/>
      <c r="L43" s="479"/>
      <c r="M43" s="911"/>
    </row>
    <row r="44" spans="1:13" s="523" customFormat="1" ht="100.9" customHeight="1" x14ac:dyDescent="0.45">
      <c r="A44" s="908"/>
      <c r="B44" s="909"/>
      <c r="C44" s="945"/>
      <c r="D44" s="910"/>
      <c r="E44" s="770" t="s">
        <v>205</v>
      </c>
      <c r="F44" s="770" t="s">
        <v>206</v>
      </c>
      <c r="G44" s="770" t="s">
        <v>207</v>
      </c>
      <c r="H44" s="770" t="s">
        <v>208</v>
      </c>
      <c r="I44" s="770" t="s">
        <v>209</v>
      </c>
      <c r="J44" s="481"/>
      <c r="K44" s="481"/>
      <c r="L44" s="481"/>
      <c r="M44" s="911"/>
    </row>
    <row r="45" spans="1:13" s="296" customFormat="1" x14ac:dyDescent="0.45">
      <c r="A45" s="528"/>
      <c r="B45" s="529"/>
      <c r="C45" s="530"/>
      <c r="D45" s="530"/>
      <c r="E45" s="530"/>
      <c r="F45" s="530"/>
      <c r="G45" s="530"/>
      <c r="H45" s="530"/>
      <c r="I45" s="530"/>
      <c r="J45" s="530"/>
      <c r="K45" s="530"/>
      <c r="L45" s="530"/>
      <c r="M45" s="531"/>
    </row>
    <row r="46" spans="1:13" s="296" customFormat="1" x14ac:dyDescent="0.45">
      <c r="A46" s="532"/>
      <c r="B46" s="496" t="s">
        <v>210</v>
      </c>
      <c r="M46" s="533"/>
    </row>
    <row r="47" spans="1:13" s="296" customFormat="1" x14ac:dyDescent="0.45">
      <c r="A47" s="532"/>
      <c r="B47" s="534"/>
      <c r="M47" s="533"/>
    </row>
    <row r="48" spans="1:13" s="296" customFormat="1" x14ac:dyDescent="0.45">
      <c r="A48" s="532"/>
      <c r="B48" s="534"/>
      <c r="M48" s="533"/>
    </row>
    <row r="49" spans="1:13" x14ac:dyDescent="0.35">
      <c r="A49" s="535"/>
      <c r="B49" s="536"/>
      <c r="M49" s="537"/>
    </row>
    <row r="50" spans="1:13" x14ac:dyDescent="0.35">
      <c r="A50" s="535"/>
      <c r="B50" s="536"/>
      <c r="M50" s="537"/>
    </row>
    <row r="51" spans="1:13" x14ac:dyDescent="0.35">
      <c r="A51" s="535"/>
      <c r="B51" s="536"/>
      <c r="M51" s="537"/>
    </row>
    <row r="52" spans="1:13" x14ac:dyDescent="0.35">
      <c r="A52" s="535"/>
      <c r="B52" s="536"/>
      <c r="M52" s="537"/>
    </row>
    <row r="53" spans="1:13" x14ac:dyDescent="0.35">
      <c r="A53" s="535"/>
      <c r="B53" s="536"/>
      <c r="M53" s="537"/>
    </row>
    <row r="54" spans="1:13" x14ac:dyDescent="0.35">
      <c r="A54" s="535"/>
      <c r="B54" s="536"/>
      <c r="M54" s="537"/>
    </row>
    <row r="55" spans="1:13" x14ac:dyDescent="0.35">
      <c r="A55" s="535"/>
      <c r="B55" s="536"/>
      <c r="M55" s="537"/>
    </row>
    <row r="56" spans="1:13" x14ac:dyDescent="0.35">
      <c r="A56" s="535"/>
      <c r="B56" s="536"/>
      <c r="M56" s="537"/>
    </row>
    <row r="57" spans="1:13" x14ac:dyDescent="0.35">
      <c r="A57" s="535"/>
      <c r="M57" s="537"/>
    </row>
    <row r="58" spans="1:13" x14ac:dyDescent="0.35">
      <c r="A58" s="535"/>
      <c r="M58" s="537"/>
    </row>
    <row r="59" spans="1:13" x14ac:dyDescent="0.35">
      <c r="A59" s="535"/>
      <c r="M59" s="537"/>
    </row>
    <row r="60" spans="1:13" x14ac:dyDescent="0.35">
      <c r="A60" s="535"/>
      <c r="M60" s="537"/>
    </row>
    <row r="61" spans="1:13" x14ac:dyDescent="0.35">
      <c r="A61" s="535"/>
      <c r="M61" s="537"/>
    </row>
    <row r="62" spans="1:13" x14ac:dyDescent="0.35">
      <c r="A62" s="535"/>
      <c r="M62" s="537"/>
    </row>
    <row r="63" spans="1:13" x14ac:dyDescent="0.35">
      <c r="A63" s="535"/>
      <c r="M63" s="537"/>
    </row>
    <row r="64" spans="1:13" x14ac:dyDescent="0.35">
      <c r="A64" s="535"/>
      <c r="M64" s="537"/>
    </row>
    <row r="65" spans="1:13" x14ac:dyDescent="0.35">
      <c r="A65" s="535"/>
      <c r="M65" s="537"/>
    </row>
    <row r="66" spans="1:13" x14ac:dyDescent="0.35">
      <c r="A66" s="535"/>
      <c r="M66" s="537"/>
    </row>
    <row r="67" spans="1:13" x14ac:dyDescent="0.35">
      <c r="A67" s="535"/>
      <c r="M67" s="537"/>
    </row>
    <row r="68" spans="1:13" x14ac:dyDescent="0.35">
      <c r="A68" s="535"/>
      <c r="M68" s="537"/>
    </row>
    <row r="69" spans="1:13" x14ac:dyDescent="0.35">
      <c r="A69" s="535"/>
      <c r="M69" s="537"/>
    </row>
    <row r="70" spans="1:13" x14ac:dyDescent="0.35">
      <c r="A70" s="535"/>
      <c r="M70" s="537"/>
    </row>
    <row r="71" spans="1:13" x14ac:dyDescent="0.35">
      <c r="A71" s="535"/>
      <c r="M71" s="537"/>
    </row>
    <row r="72" spans="1:13" x14ac:dyDescent="0.35">
      <c r="A72" s="535"/>
      <c r="M72" s="537"/>
    </row>
    <row r="73" spans="1:13" x14ac:dyDescent="0.35">
      <c r="A73" s="535"/>
      <c r="M73" s="537"/>
    </row>
    <row r="74" spans="1:13" x14ac:dyDescent="0.35">
      <c r="A74" s="535"/>
      <c r="M74" s="537"/>
    </row>
    <row r="75" spans="1:13" x14ac:dyDescent="0.35">
      <c r="A75" s="535"/>
      <c r="M75" s="537"/>
    </row>
    <row r="76" spans="1:13" x14ac:dyDescent="0.35">
      <c r="A76" s="535"/>
      <c r="M76" s="537"/>
    </row>
    <row r="77" spans="1:13" x14ac:dyDescent="0.35">
      <c r="A77" s="535"/>
      <c r="M77" s="537"/>
    </row>
    <row r="78" spans="1:13" x14ac:dyDescent="0.35">
      <c r="A78" s="535"/>
      <c r="M78" s="537"/>
    </row>
  </sheetData>
  <sheetProtection selectLockedCells="1"/>
  <mergeCells count="95">
    <mergeCell ref="A41:A42"/>
    <mergeCell ref="B41:B42"/>
    <mergeCell ref="C41:C42"/>
    <mergeCell ref="D41:D42"/>
    <mergeCell ref="M41:M42"/>
    <mergeCell ref="A43:A44"/>
    <mergeCell ref="B43:B44"/>
    <mergeCell ref="C43:C44"/>
    <mergeCell ref="D43:D44"/>
    <mergeCell ref="M43:M44"/>
    <mergeCell ref="A40:M40"/>
    <mergeCell ref="A34:A35"/>
    <mergeCell ref="B34:B35"/>
    <mergeCell ref="C34:C35"/>
    <mergeCell ref="D34:D35"/>
    <mergeCell ref="M34:M35"/>
    <mergeCell ref="A36:A37"/>
    <mergeCell ref="B36:B37"/>
    <mergeCell ref="C36:C37"/>
    <mergeCell ref="D36:D37"/>
    <mergeCell ref="M36:M37"/>
    <mergeCell ref="A38:A39"/>
    <mergeCell ref="B38:B39"/>
    <mergeCell ref="C38:C39"/>
    <mergeCell ref="D38:D39"/>
    <mergeCell ref="M38:M39"/>
    <mergeCell ref="A33:M33"/>
    <mergeCell ref="A28:A29"/>
    <mergeCell ref="B28:B29"/>
    <mergeCell ref="C28:C29"/>
    <mergeCell ref="D28:D29"/>
    <mergeCell ref="M28:M29"/>
    <mergeCell ref="A30:M30"/>
    <mergeCell ref="A31:A32"/>
    <mergeCell ref="B31:B32"/>
    <mergeCell ref="C31:C32"/>
    <mergeCell ref="D31:D32"/>
    <mergeCell ref="M31:M32"/>
    <mergeCell ref="A25:M25"/>
    <mergeCell ref="A26:A27"/>
    <mergeCell ref="B26:B27"/>
    <mergeCell ref="C26:C27"/>
    <mergeCell ref="D26:D27"/>
    <mergeCell ref="M26:M27"/>
    <mergeCell ref="M20:M21"/>
    <mergeCell ref="A22:M22"/>
    <mergeCell ref="A23:A24"/>
    <mergeCell ref="B23:B24"/>
    <mergeCell ref="C23:C24"/>
    <mergeCell ref="D23:D24"/>
    <mergeCell ref="M23:M24"/>
    <mergeCell ref="A18:A19"/>
    <mergeCell ref="B18:B19"/>
    <mergeCell ref="C18:C19"/>
    <mergeCell ref="D18:D19"/>
    <mergeCell ref="A20:A21"/>
    <mergeCell ref="B20:B21"/>
    <mergeCell ref="C20:C21"/>
    <mergeCell ref="D20:D21"/>
    <mergeCell ref="A14:A15"/>
    <mergeCell ref="B14:B15"/>
    <mergeCell ref="C14:C15"/>
    <mergeCell ref="D14:D15"/>
    <mergeCell ref="M14:M15"/>
    <mergeCell ref="A16:A17"/>
    <mergeCell ref="B16:B17"/>
    <mergeCell ref="C16:C17"/>
    <mergeCell ref="D16:D17"/>
    <mergeCell ref="M16:M17"/>
    <mergeCell ref="C8:C9"/>
    <mergeCell ref="D8:D9"/>
    <mergeCell ref="M8:M9"/>
    <mergeCell ref="A10:A13"/>
    <mergeCell ref="B10:B13"/>
    <mergeCell ref="C10:C11"/>
    <mergeCell ref="D10:D13"/>
    <mergeCell ref="M10:M11"/>
    <mergeCell ref="C12:C13"/>
    <mergeCell ref="M12:M13"/>
    <mergeCell ref="M1:M2"/>
    <mergeCell ref="A3:M3"/>
    <mergeCell ref="A4:A9"/>
    <mergeCell ref="B4:B9"/>
    <mergeCell ref="C4:C5"/>
    <mergeCell ref="D4:D5"/>
    <mergeCell ref="M4:M5"/>
    <mergeCell ref="C6:C7"/>
    <mergeCell ref="D6:D7"/>
    <mergeCell ref="M6:M7"/>
    <mergeCell ref="A1:A2"/>
    <mergeCell ref="B1:B2"/>
    <mergeCell ref="C1:C2"/>
    <mergeCell ref="D1:D2"/>
    <mergeCell ref="E1:I1"/>
    <mergeCell ref="J1:L1"/>
  </mergeCells>
  <dataValidations count="1">
    <dataValidation type="whole" allowBlank="1" showInputMessage="1" showErrorMessage="1" sqref="J36:L36 J26:L26 J31:L31" xr:uid="{CF6E2EDD-02AB-442F-9C8B-E447BCE0A725}">
      <formula1>0</formula1>
      <formula2>5</formula2>
    </dataValidation>
  </dataValidations>
  <pageMargins left="0.59055118110236227" right="0.59055118110236227" top="0.94488188976377963" bottom="0.86614173228346458" header="0.31496062992125984" footer="0.31496062992125984"/>
  <pageSetup scale="44" orientation="landscape" horizontalDpi="4294967293" r:id="rId1"/>
  <headerFooter differentOddEven="1" differentFirst="1">
    <oddHeader>&amp;L&amp;"Palatino Linotype,Negrita"&amp;18
Componente 2: Productividad operacional
2.6. Aprovisionamiento e inventario&amp;C&amp;"Palatino Linotype,Negrita"&amp;24Programa Fábricas de Productividad
&amp;20Guía para el diagnóstico general de la Empresa&amp;R&amp;G</oddHeader>
    <oddFooter>&amp;L&amp;"Palatino Linotype,Normal"&amp;G
&amp;"Palatino Linotype,Cursiva"© Colombia Productiva&amp;C&amp;"Palatino Linotype,Negrita"&amp;18&amp;G</oddFooter>
    <evenHeader>&amp;L&amp;"Palatino Linotype,Negrita"&amp;18
Componente 2: Productividad operacional
&amp;C&amp;"Palatino Linotype,Negrita"&amp;24Programa Fábricas de Productividad&amp;11
&amp;20Guía para el Diagnóstico General de la Empresa&amp;R&amp;G</evenHeader>
    <evenFooter>&amp;L&amp;G
&amp;"Palatino Linotype,Normal"© Colombia Productiva&amp;C&amp;G</evenFooter>
    <firstHeader>&amp;L&amp;"Palatino Linotype,Negrita"&amp;16
Componente 2: Productividad operacional&amp;C&amp;"Palatino Linotype,Negrita"&amp;20&amp;K000000Programa Fábricas de Productividad
Guía para el Diagnóstico General de la Empresa&amp;R&amp;G</firstHeader>
    <firstFooter>&amp;L&amp;G
&amp;"Palatino Linotype,Cursiva"© Colombia Productiva&amp;C&amp;G</firstFooter>
  </headerFooter>
  <rowBreaks count="2" manualBreakCount="2">
    <brk id="19" max="12" man="1"/>
    <brk id="39" max="12" man="1"/>
  </rowBreaks>
  <colBreaks count="1" manualBreakCount="1">
    <brk id="13" max="29" man="1"/>
  </colBreaks>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2D13E-87F7-44AA-961B-7F5FEAC7BEA6}">
  <sheetPr>
    <tabColor theme="4" tint="-0.249977111117893"/>
  </sheetPr>
  <dimension ref="A1:M46"/>
  <sheetViews>
    <sheetView showGridLines="0" zoomScale="90" zoomScaleNormal="90" zoomScalePageLayoutView="70" workbookViewId="0">
      <selection activeCell="G5" sqref="G5"/>
    </sheetView>
  </sheetViews>
  <sheetFormatPr baseColWidth="10" defaultColWidth="2.453125" defaultRowHeight="17" x14ac:dyDescent="0.35"/>
  <cols>
    <col min="1" max="1" width="4.7265625" style="553" customWidth="1"/>
    <col min="2" max="2" width="21.453125" style="256" customWidth="1"/>
    <col min="3" max="3" width="33.1796875" style="536" customWidth="1"/>
    <col min="4" max="4" width="32" style="256" customWidth="1"/>
    <col min="5" max="9" width="20.7265625" style="256" customWidth="1"/>
    <col min="10" max="12" width="10" style="256" customWidth="1"/>
    <col min="13" max="13" width="50.26953125" style="256" customWidth="1"/>
    <col min="14" max="16384" width="2.453125" style="256"/>
  </cols>
  <sheetData>
    <row r="1" spans="1:13" ht="39.65" customHeight="1" x14ac:dyDescent="0.35">
      <c r="A1" s="940" t="s">
        <v>20</v>
      </c>
      <c r="B1" s="941" t="s">
        <v>21</v>
      </c>
      <c r="C1" s="942" t="s">
        <v>22</v>
      </c>
      <c r="D1" s="941" t="s">
        <v>23</v>
      </c>
      <c r="E1" s="942" t="s">
        <v>24</v>
      </c>
      <c r="F1" s="942"/>
      <c r="G1" s="942"/>
      <c r="H1" s="942"/>
      <c r="I1" s="942"/>
      <c r="J1" s="915" t="s">
        <v>25</v>
      </c>
      <c r="K1" s="915"/>
      <c r="L1" s="915"/>
      <c r="M1" s="907" t="str">
        <f>+'1'!M1:M2</f>
        <v>Observaciones generales  y/o afectaciones derivadas de la emergencia sanitaria COVID-19</v>
      </c>
    </row>
    <row r="2" spans="1:13" ht="39.65" customHeight="1" x14ac:dyDescent="0.35">
      <c r="A2" s="940"/>
      <c r="B2" s="941"/>
      <c r="C2" s="942"/>
      <c r="D2" s="941"/>
      <c r="E2" s="503">
        <v>1</v>
      </c>
      <c r="F2" s="504">
        <v>2</v>
      </c>
      <c r="G2" s="505">
        <v>3</v>
      </c>
      <c r="H2" s="506">
        <v>4</v>
      </c>
      <c r="I2" s="507">
        <v>5</v>
      </c>
      <c r="J2" s="772">
        <v>2022</v>
      </c>
      <c r="K2" s="772">
        <v>2023</v>
      </c>
      <c r="L2" s="772">
        <v>2024</v>
      </c>
      <c r="M2" s="907"/>
    </row>
    <row r="3" spans="1:13" ht="17.5" customHeight="1" x14ac:dyDescent="0.35">
      <c r="A3" s="946">
        <v>1</v>
      </c>
      <c r="B3" s="909" t="s">
        <v>211</v>
      </c>
      <c r="C3" s="910" t="s">
        <v>212</v>
      </c>
      <c r="D3" s="910" t="s">
        <v>213</v>
      </c>
      <c r="E3" s="538"/>
      <c r="F3" s="538"/>
      <c r="G3" s="538"/>
      <c r="H3" s="538"/>
      <c r="I3" s="538"/>
      <c r="J3" s="539"/>
      <c r="K3" s="539"/>
      <c r="L3" s="539"/>
      <c r="M3" s="953"/>
    </row>
    <row r="4" spans="1:13" ht="164.25" customHeight="1" x14ac:dyDescent="0.35">
      <c r="A4" s="946"/>
      <c r="B4" s="909"/>
      <c r="C4" s="910"/>
      <c r="D4" s="910"/>
      <c r="E4" s="776" t="s">
        <v>214</v>
      </c>
      <c r="F4" s="770" t="s">
        <v>215</v>
      </c>
      <c r="G4" s="770" t="s">
        <v>216</v>
      </c>
      <c r="H4" s="770" t="s">
        <v>217</v>
      </c>
      <c r="I4" s="770" t="s">
        <v>218</v>
      </c>
      <c r="J4" s="481"/>
      <c r="K4" s="481"/>
      <c r="L4" s="481"/>
      <c r="M4" s="953"/>
    </row>
    <row r="5" spans="1:13" ht="18" customHeight="1" x14ac:dyDescent="0.35">
      <c r="A5" s="946"/>
      <c r="B5" s="909"/>
      <c r="C5" s="910"/>
      <c r="D5" s="910" t="s">
        <v>219</v>
      </c>
      <c r="E5" s="538"/>
      <c r="F5" s="538"/>
      <c r="G5" s="538"/>
      <c r="H5" s="538"/>
      <c r="I5" s="538"/>
      <c r="J5" s="539"/>
      <c r="K5" s="539"/>
      <c r="L5" s="539"/>
      <c r="M5" s="953"/>
    </row>
    <row r="6" spans="1:13" ht="159" customHeight="1" x14ac:dyDescent="0.35">
      <c r="A6" s="946"/>
      <c r="B6" s="909"/>
      <c r="C6" s="910"/>
      <c r="D6" s="910"/>
      <c r="E6" s="776" t="s">
        <v>214</v>
      </c>
      <c r="F6" s="770" t="s">
        <v>215</v>
      </c>
      <c r="G6" s="770" t="s">
        <v>216</v>
      </c>
      <c r="H6" s="770" t="s">
        <v>217</v>
      </c>
      <c r="I6" s="770" t="s">
        <v>220</v>
      </c>
      <c r="J6" s="481"/>
      <c r="K6" s="481"/>
      <c r="L6" s="481"/>
      <c r="M6" s="953"/>
    </row>
    <row r="7" spans="1:13" ht="18" customHeight="1" x14ac:dyDescent="0.35">
      <c r="A7" s="946">
        <v>2</v>
      </c>
      <c r="B7" s="909" t="s">
        <v>221</v>
      </c>
      <c r="C7" s="910" t="s">
        <v>222</v>
      </c>
      <c r="D7" s="910" t="s">
        <v>223</v>
      </c>
      <c r="E7" s="538"/>
      <c r="F7" s="538"/>
      <c r="G7" s="538"/>
      <c r="H7" s="538"/>
      <c r="I7" s="538"/>
      <c r="J7" s="539"/>
      <c r="K7" s="539"/>
      <c r="L7" s="539"/>
      <c r="M7" s="953"/>
    </row>
    <row r="8" spans="1:13" ht="78" customHeight="1" x14ac:dyDescent="0.35">
      <c r="A8" s="946"/>
      <c r="B8" s="909"/>
      <c r="C8" s="910"/>
      <c r="D8" s="910"/>
      <c r="E8" s="770" t="s">
        <v>224</v>
      </c>
      <c r="F8" s="770" t="s">
        <v>225</v>
      </c>
      <c r="G8" s="770" t="s">
        <v>226</v>
      </c>
      <c r="H8" s="770" t="s">
        <v>227</v>
      </c>
      <c r="I8" s="770" t="s">
        <v>228</v>
      </c>
      <c r="J8" s="481"/>
      <c r="K8" s="481"/>
      <c r="L8" s="481"/>
      <c r="M8" s="953"/>
    </row>
    <row r="9" spans="1:13" ht="18" customHeight="1" x14ac:dyDescent="0.35">
      <c r="A9" s="946"/>
      <c r="B9" s="909"/>
      <c r="C9" s="910"/>
      <c r="D9" s="910" t="s">
        <v>229</v>
      </c>
      <c r="E9" s="538"/>
      <c r="F9" s="538"/>
      <c r="G9" s="538"/>
      <c r="H9" s="538"/>
      <c r="I9" s="538"/>
      <c r="J9" s="539"/>
      <c r="K9" s="539"/>
      <c r="L9" s="539"/>
      <c r="M9" s="953"/>
    </row>
    <row r="10" spans="1:13" ht="82.9" customHeight="1" x14ac:dyDescent="0.35">
      <c r="A10" s="946"/>
      <c r="B10" s="909"/>
      <c r="C10" s="910"/>
      <c r="D10" s="910"/>
      <c r="E10" s="770" t="s">
        <v>230</v>
      </c>
      <c r="F10" s="770" t="s">
        <v>231</v>
      </c>
      <c r="G10" s="770" t="s">
        <v>232</v>
      </c>
      <c r="H10" s="770" t="s">
        <v>233</v>
      </c>
      <c r="I10" s="770" t="s">
        <v>234</v>
      </c>
      <c r="J10" s="481"/>
      <c r="K10" s="481"/>
      <c r="L10" s="481"/>
      <c r="M10" s="953"/>
    </row>
    <row r="11" spans="1:13" ht="18" customHeight="1" x14ac:dyDescent="0.35">
      <c r="A11" s="946">
        <v>3</v>
      </c>
      <c r="B11" s="909" t="s">
        <v>235</v>
      </c>
      <c r="C11" s="910" t="s">
        <v>236</v>
      </c>
      <c r="D11" s="910" t="s">
        <v>237</v>
      </c>
      <c r="E11" s="538"/>
      <c r="F11" s="538"/>
      <c r="G11" s="538"/>
      <c r="H11" s="538"/>
      <c r="I11" s="538"/>
      <c r="J11" s="539"/>
      <c r="K11" s="539"/>
      <c r="L11" s="539"/>
      <c r="M11" s="953"/>
    </row>
    <row r="12" spans="1:13" ht="57.65" customHeight="1" x14ac:dyDescent="0.35">
      <c r="A12" s="946"/>
      <c r="B12" s="909"/>
      <c r="C12" s="910"/>
      <c r="D12" s="910"/>
      <c r="E12" s="770" t="s">
        <v>238</v>
      </c>
      <c r="F12" s="770" t="s">
        <v>239</v>
      </c>
      <c r="G12" s="770" t="s">
        <v>240</v>
      </c>
      <c r="H12" s="770" t="s">
        <v>241</v>
      </c>
      <c r="I12" s="770" t="s">
        <v>242</v>
      </c>
      <c r="J12" s="481"/>
      <c r="K12" s="481"/>
      <c r="L12" s="481"/>
      <c r="M12" s="953"/>
    </row>
    <row r="13" spans="1:13" ht="18" customHeight="1" x14ac:dyDescent="0.35">
      <c r="A13" s="946">
        <v>4</v>
      </c>
      <c r="B13" s="909" t="s">
        <v>243</v>
      </c>
      <c r="C13" s="910" t="s">
        <v>244</v>
      </c>
      <c r="D13" s="910" t="s">
        <v>245</v>
      </c>
      <c r="E13" s="538"/>
      <c r="F13" s="538"/>
      <c r="G13" s="538"/>
      <c r="H13" s="538"/>
      <c r="I13" s="538"/>
      <c r="J13" s="539"/>
      <c r="K13" s="539"/>
      <c r="L13" s="539"/>
      <c r="M13" s="953"/>
    </row>
    <row r="14" spans="1:13" ht="62.5" customHeight="1" x14ac:dyDescent="0.35">
      <c r="A14" s="946"/>
      <c r="B14" s="909"/>
      <c r="C14" s="910"/>
      <c r="D14" s="910"/>
      <c r="E14" s="540" t="s">
        <v>246</v>
      </c>
      <c r="F14" s="540" t="s">
        <v>247</v>
      </c>
      <c r="G14" s="540" t="s">
        <v>248</v>
      </c>
      <c r="H14" s="540" t="s">
        <v>249</v>
      </c>
      <c r="I14" s="540" t="s">
        <v>250</v>
      </c>
      <c r="J14" s="481"/>
      <c r="K14" s="481"/>
      <c r="L14" s="481"/>
      <c r="M14" s="953"/>
    </row>
    <row r="15" spans="1:13" ht="18" customHeight="1" x14ac:dyDescent="0.35">
      <c r="A15" s="946">
        <v>5</v>
      </c>
      <c r="B15" s="909" t="s">
        <v>251</v>
      </c>
      <c r="C15" s="943" t="s">
        <v>252</v>
      </c>
      <c r="D15" s="910" t="s">
        <v>253</v>
      </c>
      <c r="E15" s="538"/>
      <c r="F15" s="538"/>
      <c r="G15" s="538"/>
      <c r="H15" s="538"/>
      <c r="I15" s="538"/>
      <c r="J15" s="539"/>
      <c r="K15" s="539"/>
      <c r="L15" s="539"/>
      <c r="M15" s="953"/>
    </row>
    <row r="16" spans="1:13" ht="205.5" customHeight="1" x14ac:dyDescent="0.35">
      <c r="A16" s="946"/>
      <c r="B16" s="909"/>
      <c r="C16" s="943"/>
      <c r="D16" s="910"/>
      <c r="E16" s="770" t="s">
        <v>254</v>
      </c>
      <c r="F16" s="770" t="s">
        <v>255</v>
      </c>
      <c r="G16" s="770" t="s">
        <v>256</v>
      </c>
      <c r="H16" s="770" t="s">
        <v>257</v>
      </c>
      <c r="I16" s="770" t="s">
        <v>258</v>
      </c>
      <c r="J16" s="481"/>
      <c r="K16" s="481"/>
      <c r="L16" s="481"/>
      <c r="M16" s="953"/>
    </row>
    <row r="17" spans="1:13" ht="18" customHeight="1" x14ac:dyDescent="0.35">
      <c r="A17" s="946">
        <v>6</v>
      </c>
      <c r="B17" s="909" t="s">
        <v>259</v>
      </c>
      <c r="C17" s="910" t="s">
        <v>260</v>
      </c>
      <c r="D17" s="910" t="s">
        <v>261</v>
      </c>
      <c r="E17" s="538"/>
      <c r="F17" s="538"/>
      <c r="G17" s="538"/>
      <c r="H17" s="538"/>
      <c r="I17" s="538"/>
      <c r="J17" s="539"/>
      <c r="K17" s="539"/>
      <c r="L17" s="539"/>
      <c r="M17" s="953"/>
    </row>
    <row r="18" spans="1:13" ht="117" customHeight="1" x14ac:dyDescent="0.35">
      <c r="A18" s="946"/>
      <c r="B18" s="909"/>
      <c r="C18" s="910"/>
      <c r="D18" s="910"/>
      <c r="E18" s="770" t="s">
        <v>262</v>
      </c>
      <c r="F18" s="770" t="s">
        <v>263</v>
      </c>
      <c r="G18" s="770" t="s">
        <v>264</v>
      </c>
      <c r="H18" s="770" t="s">
        <v>265</v>
      </c>
      <c r="I18" s="770" t="s">
        <v>266</v>
      </c>
      <c r="J18" s="481"/>
      <c r="K18" s="481"/>
      <c r="L18" s="481"/>
      <c r="M18" s="953"/>
    </row>
    <row r="19" spans="1:13" ht="18" customHeight="1" x14ac:dyDescent="0.35">
      <c r="A19" s="946">
        <v>7</v>
      </c>
      <c r="B19" s="909" t="s">
        <v>259</v>
      </c>
      <c r="C19" s="910" t="s">
        <v>267</v>
      </c>
      <c r="D19" s="910" t="s">
        <v>268</v>
      </c>
      <c r="E19" s="538"/>
      <c r="F19" s="538"/>
      <c r="G19" s="538"/>
      <c r="H19" s="538"/>
      <c r="I19" s="538"/>
      <c r="J19" s="539"/>
      <c r="K19" s="539"/>
      <c r="L19" s="539"/>
      <c r="M19" s="953"/>
    </row>
    <row r="20" spans="1:13" ht="135.65" customHeight="1" x14ac:dyDescent="0.35">
      <c r="A20" s="946"/>
      <c r="B20" s="909"/>
      <c r="C20" s="910"/>
      <c r="D20" s="910"/>
      <c r="E20" s="776" t="s">
        <v>269</v>
      </c>
      <c r="F20" s="770" t="s">
        <v>270</v>
      </c>
      <c r="G20" s="770" t="s">
        <v>271</v>
      </c>
      <c r="H20" s="770" t="s">
        <v>272</v>
      </c>
      <c r="I20" s="770" t="s">
        <v>273</v>
      </c>
      <c r="J20" s="481"/>
      <c r="K20" s="481"/>
      <c r="L20" s="481"/>
      <c r="M20" s="953"/>
    </row>
    <row r="21" spans="1:13" ht="18" customHeight="1" x14ac:dyDescent="0.35">
      <c r="A21" s="949">
        <v>8</v>
      </c>
      <c r="B21" s="937" t="s">
        <v>274</v>
      </c>
      <c r="C21" s="910" t="s">
        <v>275</v>
      </c>
      <c r="D21" s="910" t="s">
        <v>276</v>
      </c>
      <c r="E21" s="538"/>
      <c r="F21" s="538"/>
      <c r="G21" s="538"/>
      <c r="H21" s="538"/>
      <c r="I21" s="538"/>
      <c r="J21" s="539"/>
      <c r="K21" s="539"/>
      <c r="L21" s="539"/>
      <c r="M21" s="953"/>
    </row>
    <row r="22" spans="1:13" ht="87.65" customHeight="1" x14ac:dyDescent="0.35">
      <c r="A22" s="950"/>
      <c r="B22" s="939"/>
      <c r="C22" s="910"/>
      <c r="D22" s="910"/>
      <c r="E22" s="776" t="s">
        <v>277</v>
      </c>
      <c r="F22" s="770" t="s">
        <v>278</v>
      </c>
      <c r="G22" s="770" t="s">
        <v>279</v>
      </c>
      <c r="H22" s="770" t="s">
        <v>280</v>
      </c>
      <c r="I22" s="770" t="s">
        <v>281</v>
      </c>
      <c r="J22" s="481"/>
      <c r="K22" s="481"/>
      <c r="L22" s="481"/>
      <c r="M22" s="953"/>
    </row>
    <row r="23" spans="1:13" ht="18" customHeight="1" x14ac:dyDescent="0.35">
      <c r="A23" s="946">
        <v>9</v>
      </c>
      <c r="B23" s="909" t="s">
        <v>282</v>
      </c>
      <c r="C23" s="910" t="s">
        <v>283</v>
      </c>
      <c r="D23" s="910" t="s">
        <v>284</v>
      </c>
      <c r="E23" s="538"/>
      <c r="F23" s="538"/>
      <c r="G23" s="538"/>
      <c r="H23" s="538"/>
      <c r="I23" s="538"/>
      <c r="J23" s="539"/>
      <c r="K23" s="539"/>
      <c r="L23" s="539"/>
      <c r="M23" s="953"/>
    </row>
    <row r="24" spans="1:13" ht="166.15" customHeight="1" x14ac:dyDescent="0.35">
      <c r="A24" s="946"/>
      <c r="B24" s="909"/>
      <c r="C24" s="910"/>
      <c r="D24" s="910"/>
      <c r="E24" s="770" t="s">
        <v>285</v>
      </c>
      <c r="F24" s="770" t="s">
        <v>286</v>
      </c>
      <c r="G24" s="770" t="s">
        <v>287</v>
      </c>
      <c r="H24" s="770" t="s">
        <v>288</v>
      </c>
      <c r="I24" s="541" t="s">
        <v>289</v>
      </c>
      <c r="J24" s="481"/>
      <c r="K24" s="481"/>
      <c r="L24" s="481"/>
      <c r="M24" s="953"/>
    </row>
    <row r="25" spans="1:13" ht="18" customHeight="1" x14ac:dyDescent="0.35">
      <c r="A25" s="946">
        <v>10</v>
      </c>
      <c r="B25" s="909" t="s">
        <v>290</v>
      </c>
      <c r="C25" s="910" t="s">
        <v>291</v>
      </c>
      <c r="D25" s="910" t="s">
        <v>292</v>
      </c>
      <c r="E25" s="538"/>
      <c r="F25" s="538"/>
      <c r="G25" s="538"/>
      <c r="H25" s="538"/>
      <c r="I25" s="538"/>
      <c r="J25" s="539"/>
      <c r="K25" s="539"/>
      <c r="L25" s="539"/>
      <c r="M25" s="953"/>
    </row>
    <row r="26" spans="1:13" ht="78.650000000000006" customHeight="1" x14ac:dyDescent="0.35">
      <c r="A26" s="946"/>
      <c r="B26" s="909"/>
      <c r="C26" s="910"/>
      <c r="D26" s="910"/>
      <c r="E26" s="770" t="s">
        <v>47</v>
      </c>
      <c r="F26" s="770" t="s">
        <v>293</v>
      </c>
      <c r="G26" s="770" t="s">
        <v>294</v>
      </c>
      <c r="H26" s="770" t="s">
        <v>295</v>
      </c>
      <c r="I26" s="541" t="s">
        <v>296</v>
      </c>
      <c r="J26" s="481"/>
      <c r="K26" s="481"/>
      <c r="L26" s="481"/>
      <c r="M26" s="953"/>
    </row>
    <row r="27" spans="1:13" ht="21" customHeight="1" x14ac:dyDescent="0.35">
      <c r="A27" s="949">
        <v>11</v>
      </c>
      <c r="B27" s="937" t="s">
        <v>297</v>
      </c>
      <c r="C27" s="910" t="s">
        <v>298</v>
      </c>
      <c r="D27" s="910" t="s">
        <v>299</v>
      </c>
      <c r="E27" s="538"/>
      <c r="F27" s="538"/>
      <c r="G27" s="538"/>
      <c r="H27" s="538"/>
      <c r="I27" s="538"/>
      <c r="J27" s="539"/>
      <c r="K27" s="539"/>
      <c r="L27" s="539"/>
      <c r="M27" s="953"/>
    </row>
    <row r="28" spans="1:13" ht="142.5" customHeight="1" x14ac:dyDescent="0.35">
      <c r="A28" s="950"/>
      <c r="B28" s="939"/>
      <c r="C28" s="910"/>
      <c r="D28" s="910"/>
      <c r="E28" s="770" t="s">
        <v>300</v>
      </c>
      <c r="F28" s="770" t="s">
        <v>301</v>
      </c>
      <c r="G28" s="770" t="s">
        <v>302</v>
      </c>
      <c r="H28" s="770" t="s">
        <v>303</v>
      </c>
      <c r="I28" s="770" t="s">
        <v>304</v>
      </c>
      <c r="J28" s="481"/>
      <c r="K28" s="481"/>
      <c r="L28" s="481"/>
      <c r="M28" s="953"/>
    </row>
    <row r="29" spans="1:13" ht="18" customHeight="1" x14ac:dyDescent="0.35">
      <c r="A29" s="946">
        <v>12</v>
      </c>
      <c r="B29" s="909" t="s">
        <v>305</v>
      </c>
      <c r="C29" s="910" t="s">
        <v>306</v>
      </c>
      <c r="D29" s="910" t="s">
        <v>307</v>
      </c>
      <c r="E29" s="538"/>
      <c r="F29" s="538"/>
      <c r="G29" s="538"/>
      <c r="H29" s="538"/>
      <c r="I29" s="538"/>
      <c r="J29" s="539"/>
      <c r="K29" s="539"/>
      <c r="L29" s="539"/>
      <c r="M29" s="953"/>
    </row>
    <row r="30" spans="1:13" ht="162" customHeight="1" x14ac:dyDescent="0.35">
      <c r="A30" s="946"/>
      <c r="B30" s="909"/>
      <c r="C30" s="910"/>
      <c r="D30" s="910"/>
      <c r="E30" s="770" t="s">
        <v>308</v>
      </c>
      <c r="F30" s="770" t="s">
        <v>309</v>
      </c>
      <c r="G30" s="770" t="s">
        <v>310</v>
      </c>
      <c r="H30" s="770" t="s">
        <v>311</v>
      </c>
      <c r="I30" s="770" t="s">
        <v>312</v>
      </c>
      <c r="J30" s="481"/>
      <c r="K30" s="481"/>
      <c r="L30" s="481"/>
      <c r="M30" s="953"/>
    </row>
    <row r="31" spans="1:13" ht="18" customHeight="1" x14ac:dyDescent="0.35">
      <c r="A31" s="946">
        <v>13</v>
      </c>
      <c r="B31" s="909" t="s">
        <v>313</v>
      </c>
      <c r="C31" s="910" t="s">
        <v>314</v>
      </c>
      <c r="D31" s="910"/>
      <c r="E31" s="538"/>
      <c r="F31" s="538"/>
      <c r="G31" s="538"/>
      <c r="H31" s="538"/>
      <c r="I31" s="538"/>
      <c r="J31" s="539"/>
      <c r="K31" s="539"/>
      <c r="L31" s="539"/>
      <c r="M31" s="953"/>
    </row>
    <row r="32" spans="1:13" ht="124.15" customHeight="1" x14ac:dyDescent="0.35">
      <c r="A32" s="949"/>
      <c r="B32" s="937"/>
      <c r="C32" s="954"/>
      <c r="D32" s="954"/>
      <c r="E32" s="777" t="s">
        <v>315</v>
      </c>
      <c r="F32" s="777" t="s">
        <v>316</v>
      </c>
      <c r="G32" s="777" t="s">
        <v>317</v>
      </c>
      <c r="H32" s="777" t="s">
        <v>318</v>
      </c>
      <c r="I32" s="542" t="s">
        <v>319</v>
      </c>
      <c r="J32" s="543"/>
      <c r="K32" s="543"/>
      <c r="L32" s="543"/>
      <c r="M32" s="955"/>
    </row>
    <row r="33" spans="1:13" x14ac:dyDescent="0.35">
      <c r="A33" s="544"/>
      <c r="B33" s="545"/>
      <c r="C33" s="545"/>
      <c r="D33" s="545"/>
      <c r="E33" s="545"/>
      <c r="F33" s="545"/>
      <c r="G33" s="545"/>
      <c r="H33" s="545"/>
      <c r="I33" s="545"/>
      <c r="J33" s="545"/>
      <c r="K33" s="545"/>
      <c r="L33" s="545"/>
      <c r="M33" s="546"/>
    </row>
    <row r="34" spans="1:13" x14ac:dyDescent="0.35">
      <c r="A34" s="547"/>
      <c r="B34" s="548" t="s">
        <v>74</v>
      </c>
      <c r="M34" s="537"/>
    </row>
    <row r="35" spans="1:13" x14ac:dyDescent="0.35">
      <c r="A35" s="547"/>
      <c r="M35" s="537"/>
    </row>
    <row r="36" spans="1:13" x14ac:dyDescent="0.35">
      <c r="A36" s="547"/>
      <c r="M36" s="537"/>
    </row>
    <row r="37" spans="1:13" x14ac:dyDescent="0.35">
      <c r="A37" s="547"/>
      <c r="M37" s="537"/>
    </row>
    <row r="38" spans="1:13" x14ac:dyDescent="0.35">
      <c r="A38" s="547"/>
      <c r="M38" s="537"/>
    </row>
    <row r="39" spans="1:13" x14ac:dyDescent="0.35">
      <c r="A39" s="547"/>
      <c r="M39" s="537"/>
    </row>
    <row r="40" spans="1:13" x14ac:dyDescent="0.35">
      <c r="A40" s="547"/>
      <c r="M40" s="537"/>
    </row>
    <row r="41" spans="1:13" x14ac:dyDescent="0.35">
      <c r="A41" s="547"/>
      <c r="M41" s="537"/>
    </row>
    <row r="42" spans="1:13" x14ac:dyDescent="0.35">
      <c r="A42" s="547"/>
      <c r="M42" s="537"/>
    </row>
    <row r="43" spans="1:13" x14ac:dyDescent="0.35">
      <c r="A43" s="547"/>
      <c r="M43" s="537"/>
    </row>
    <row r="44" spans="1:13" x14ac:dyDescent="0.35">
      <c r="A44" s="547"/>
      <c r="M44" s="537"/>
    </row>
    <row r="45" spans="1:13" x14ac:dyDescent="0.35">
      <c r="A45" s="547"/>
      <c r="M45" s="537"/>
    </row>
    <row r="46" spans="1:13" x14ac:dyDescent="0.35">
      <c r="A46" s="549"/>
      <c r="B46" s="550"/>
      <c r="C46" s="551"/>
      <c r="D46" s="550"/>
      <c r="E46" s="550"/>
      <c r="F46" s="550"/>
      <c r="G46" s="550"/>
      <c r="H46" s="550"/>
      <c r="I46" s="550"/>
      <c r="J46" s="550"/>
      <c r="K46" s="550"/>
      <c r="L46" s="550"/>
      <c r="M46" s="552"/>
    </row>
  </sheetData>
  <sheetProtection selectLockedCells="1"/>
  <mergeCells count="76">
    <mergeCell ref="A31:A32"/>
    <mergeCell ref="B31:B32"/>
    <mergeCell ref="C31:C32"/>
    <mergeCell ref="D31:D32"/>
    <mergeCell ref="M31:M32"/>
    <mergeCell ref="A27:A28"/>
    <mergeCell ref="B27:B28"/>
    <mergeCell ref="C27:C28"/>
    <mergeCell ref="D27:D28"/>
    <mergeCell ref="M27:M28"/>
    <mergeCell ref="A29:A30"/>
    <mergeCell ref="B29:B30"/>
    <mergeCell ref="C29:C30"/>
    <mergeCell ref="D29:D30"/>
    <mergeCell ref="M29:M30"/>
    <mergeCell ref="A23:A24"/>
    <mergeCell ref="B23:B24"/>
    <mergeCell ref="C23:C24"/>
    <mergeCell ref="D23:D24"/>
    <mergeCell ref="M23:M24"/>
    <mergeCell ref="A25:A26"/>
    <mergeCell ref="B25:B26"/>
    <mergeCell ref="C25:C26"/>
    <mergeCell ref="D25:D26"/>
    <mergeCell ref="M25:M26"/>
    <mergeCell ref="A19:A20"/>
    <mergeCell ref="B19:B20"/>
    <mergeCell ref="C19:C20"/>
    <mergeCell ref="D19:D20"/>
    <mergeCell ref="M19:M20"/>
    <mergeCell ref="A21:A22"/>
    <mergeCell ref="B21:B22"/>
    <mergeCell ref="C21:C22"/>
    <mergeCell ref="D21:D22"/>
    <mergeCell ref="M21:M22"/>
    <mergeCell ref="A15:A16"/>
    <mergeCell ref="B15:B16"/>
    <mergeCell ref="C15:C16"/>
    <mergeCell ref="D15:D16"/>
    <mergeCell ref="M15:M16"/>
    <mergeCell ref="A17:A18"/>
    <mergeCell ref="B17:B18"/>
    <mergeCell ref="C17:C18"/>
    <mergeCell ref="D17:D18"/>
    <mergeCell ref="M17:M18"/>
    <mergeCell ref="A11:A12"/>
    <mergeCell ref="B11:B12"/>
    <mergeCell ref="C11:C12"/>
    <mergeCell ref="D11:D12"/>
    <mergeCell ref="M11:M12"/>
    <mergeCell ref="A13:A14"/>
    <mergeCell ref="B13:B14"/>
    <mergeCell ref="C13:C14"/>
    <mergeCell ref="D13:D14"/>
    <mergeCell ref="M13:M14"/>
    <mergeCell ref="A7:A10"/>
    <mergeCell ref="B7:B10"/>
    <mergeCell ref="C7:C10"/>
    <mergeCell ref="D7:D8"/>
    <mergeCell ref="M7:M8"/>
    <mergeCell ref="D9:D10"/>
    <mergeCell ref="M9:M10"/>
    <mergeCell ref="M1:M2"/>
    <mergeCell ref="A3:A6"/>
    <mergeCell ref="B3:B6"/>
    <mergeCell ref="C3:C6"/>
    <mergeCell ref="D3:D4"/>
    <mergeCell ref="M3:M4"/>
    <mergeCell ref="D5:D6"/>
    <mergeCell ref="M5:M6"/>
    <mergeCell ref="A1:A2"/>
    <mergeCell ref="B1:B2"/>
    <mergeCell ref="C1:C2"/>
    <mergeCell ref="D1:D2"/>
    <mergeCell ref="E1:I1"/>
    <mergeCell ref="J1:L1"/>
  </mergeCells>
  <dataValidations count="1">
    <dataValidation type="whole" allowBlank="1" showInputMessage="1" showErrorMessage="1" sqref="J3:L3 J5:L5 J19:L19 J17:L17 J15:L15 J21:L21" xr:uid="{32E91625-7E49-490C-A07F-787C6C36833D}">
      <formula1>0</formula1>
      <formula2>5</formula2>
    </dataValidation>
  </dataValidations>
  <pageMargins left="0.59055118110236227" right="0.59055118110236227" top="0.94488188976377963" bottom="0.86614173228346458" header="0.31496062992125984" footer="0.31496062992125984"/>
  <pageSetup scale="45" fitToHeight="0" orientation="landscape" horizontalDpi="4294967293" r:id="rId1"/>
  <headerFooter>
    <oddHeader>&amp;L&amp;"Palatino Linotype,Negrita"&amp;18
Componente 3: Productividad laboral&amp;C&amp;"Palatino Linotype,Negrita"&amp;24Programa Fábricas de Productividad
&amp;20Guía para el diagnóstico general de la Empresa&amp;R&amp;G</oddHeader>
    <oddFooter>&amp;L&amp;"Palatino Linotype,Normal"&amp;G
&amp;"Palatino Linotype,Cursiva"© Colombia Productiva&amp;C&amp;"Palatino Linotype,Negrita"&amp;18&amp;G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2" manualBreakCount="2">
    <brk id="16" max="12" man="1"/>
    <brk id="46" max="12"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A598E-DAEF-4256-A2B4-0046132680A0}">
  <sheetPr>
    <tabColor theme="4" tint="-0.249977111117893"/>
  </sheetPr>
  <dimension ref="A1:M27"/>
  <sheetViews>
    <sheetView showGridLines="0" zoomScale="50" zoomScaleNormal="50" zoomScaleSheetLayoutView="55" zoomScalePageLayoutView="70" workbookViewId="0">
      <selection activeCell="J2" sqref="J2:L2"/>
    </sheetView>
  </sheetViews>
  <sheetFormatPr baseColWidth="10" defaultColWidth="0" defaultRowHeight="15.5" x14ac:dyDescent="0.35"/>
  <cols>
    <col min="1" max="1" width="5.453125" style="498" customWidth="1"/>
    <col min="2" max="2" width="19.81640625" style="498" customWidth="1"/>
    <col min="3" max="3" width="22.26953125" style="498" customWidth="1"/>
    <col min="4" max="4" width="22.1796875" style="498" customWidth="1"/>
    <col min="5" max="9" width="30.7265625" style="498" customWidth="1"/>
    <col min="10" max="12" width="10" style="498" customWidth="1"/>
    <col min="13" max="13" width="48.81640625" style="498" customWidth="1"/>
    <col min="14" max="16383" width="0" style="498" hidden="1"/>
    <col min="16384" max="16384" width="10.81640625" style="498" customWidth="1"/>
  </cols>
  <sheetData>
    <row r="1" spans="1:13" ht="39.65" customHeight="1" x14ac:dyDescent="0.35">
      <c r="A1" s="912" t="s">
        <v>20</v>
      </c>
      <c r="B1" s="913" t="s">
        <v>21</v>
      </c>
      <c r="C1" s="913" t="s">
        <v>22</v>
      </c>
      <c r="D1" s="913" t="s">
        <v>23</v>
      </c>
      <c r="E1" s="914" t="s">
        <v>24</v>
      </c>
      <c r="F1" s="914"/>
      <c r="G1" s="914"/>
      <c r="H1" s="914"/>
      <c r="I1" s="914"/>
      <c r="J1" s="915" t="s">
        <v>25</v>
      </c>
      <c r="K1" s="915"/>
      <c r="L1" s="915"/>
      <c r="M1" s="907" t="str">
        <f>+'1'!M1:M2</f>
        <v>Observaciones generales  y/o afectaciones derivadas de la emergencia sanitaria COVID-19</v>
      </c>
    </row>
    <row r="2" spans="1:13" ht="39.65" customHeight="1" x14ac:dyDescent="0.35">
      <c r="A2" s="912"/>
      <c r="B2" s="913"/>
      <c r="C2" s="913"/>
      <c r="D2" s="913"/>
      <c r="E2" s="473">
        <v>1</v>
      </c>
      <c r="F2" s="474">
        <v>2</v>
      </c>
      <c r="G2" s="475">
        <v>3</v>
      </c>
      <c r="H2" s="476">
        <v>4</v>
      </c>
      <c r="I2" s="477">
        <v>5</v>
      </c>
      <c r="J2" s="772">
        <v>2022</v>
      </c>
      <c r="K2" s="772">
        <v>2023</v>
      </c>
      <c r="L2" s="772">
        <v>2024</v>
      </c>
      <c r="M2" s="907"/>
    </row>
    <row r="3" spans="1:13" ht="17.649999999999999" customHeight="1" x14ac:dyDescent="0.35">
      <c r="A3" s="926">
        <v>1</v>
      </c>
      <c r="B3" s="956" t="s">
        <v>320</v>
      </c>
      <c r="C3" s="957" t="s">
        <v>321</v>
      </c>
      <c r="D3" s="958" t="s">
        <v>322</v>
      </c>
      <c r="E3" s="554"/>
      <c r="F3" s="554"/>
      <c r="G3" s="554"/>
      <c r="H3" s="554"/>
      <c r="I3" s="554" t="s">
        <v>46</v>
      </c>
      <c r="J3" s="555">
        <v>5</v>
      </c>
      <c r="K3" s="555">
        <v>5</v>
      </c>
      <c r="L3" s="555">
        <v>5</v>
      </c>
      <c r="M3" s="959"/>
    </row>
    <row r="4" spans="1:13" ht="142.5" customHeight="1" x14ac:dyDescent="0.35">
      <c r="A4" s="926"/>
      <c r="B4" s="956"/>
      <c r="C4" s="957"/>
      <c r="D4" s="958"/>
      <c r="E4" s="778" t="s">
        <v>323</v>
      </c>
      <c r="F4" s="778" t="s">
        <v>324</v>
      </c>
      <c r="G4" s="778" t="s">
        <v>325</v>
      </c>
      <c r="H4" s="778" t="s">
        <v>326</v>
      </c>
      <c r="I4" s="778" t="s">
        <v>327</v>
      </c>
      <c r="J4" s="481"/>
      <c r="K4" s="481"/>
      <c r="L4" s="481"/>
      <c r="M4" s="959"/>
    </row>
    <row r="5" spans="1:13" ht="17.649999999999999" customHeight="1" x14ac:dyDescent="0.35">
      <c r="A5" s="960">
        <v>2</v>
      </c>
      <c r="B5" s="956" t="s">
        <v>328</v>
      </c>
      <c r="C5" s="957" t="s">
        <v>329</v>
      </c>
      <c r="D5" s="957" t="s">
        <v>330</v>
      </c>
      <c r="E5" s="556"/>
      <c r="F5" s="554"/>
      <c r="G5" s="554"/>
      <c r="H5" s="554"/>
      <c r="I5" s="554" t="s">
        <v>46</v>
      </c>
      <c r="J5" s="555"/>
      <c r="K5" s="555"/>
      <c r="L5" s="555"/>
      <c r="M5" s="959"/>
    </row>
    <row r="6" spans="1:13" ht="68" x14ac:dyDescent="0.35">
      <c r="A6" s="960"/>
      <c r="B6" s="956"/>
      <c r="C6" s="957"/>
      <c r="D6" s="957"/>
      <c r="E6" s="778" t="s">
        <v>331</v>
      </c>
      <c r="F6" s="778" t="s">
        <v>332</v>
      </c>
      <c r="G6" s="778" t="s">
        <v>333</v>
      </c>
      <c r="H6" s="778" t="s">
        <v>334</v>
      </c>
      <c r="I6" s="778" t="s">
        <v>335</v>
      </c>
      <c r="J6" s="481"/>
      <c r="K6" s="481"/>
      <c r="L6" s="481"/>
      <c r="M6" s="959"/>
    </row>
    <row r="7" spans="1:13" s="480" customFormat="1" ht="17.649999999999999" customHeight="1" x14ac:dyDescent="0.35">
      <c r="A7" s="926">
        <v>3</v>
      </c>
      <c r="B7" s="956" t="s">
        <v>336</v>
      </c>
      <c r="C7" s="957" t="s">
        <v>337</v>
      </c>
      <c r="D7" s="958" t="s">
        <v>338</v>
      </c>
      <c r="E7" s="556"/>
      <c r="F7" s="554"/>
      <c r="G7" s="554"/>
      <c r="H7" s="554"/>
      <c r="I7" s="554" t="s">
        <v>46</v>
      </c>
      <c r="J7" s="479"/>
      <c r="K7" s="479"/>
      <c r="L7" s="479"/>
      <c r="M7" s="948"/>
    </row>
    <row r="8" spans="1:13" s="480" customFormat="1" ht="98.25" customHeight="1" x14ac:dyDescent="0.35">
      <c r="A8" s="926"/>
      <c r="B8" s="956"/>
      <c r="C8" s="957"/>
      <c r="D8" s="958"/>
      <c r="E8" s="778" t="s">
        <v>339</v>
      </c>
      <c r="F8" s="778" t="s">
        <v>340</v>
      </c>
      <c r="G8" s="778" t="s">
        <v>341</v>
      </c>
      <c r="H8" s="778" t="s">
        <v>342</v>
      </c>
      <c r="I8" s="778" t="s">
        <v>343</v>
      </c>
      <c r="J8" s="481"/>
      <c r="K8" s="481"/>
      <c r="L8" s="481"/>
      <c r="M8" s="948"/>
    </row>
    <row r="9" spans="1:13" ht="17.649999999999999" customHeight="1" x14ac:dyDescent="0.35">
      <c r="A9" s="926">
        <v>4</v>
      </c>
      <c r="B9" s="956" t="s">
        <v>344</v>
      </c>
      <c r="C9" s="957" t="s">
        <v>345</v>
      </c>
      <c r="D9" s="961"/>
      <c r="E9" s="556"/>
      <c r="F9" s="554"/>
      <c r="G9" s="554"/>
      <c r="H9" s="554"/>
      <c r="I9" s="554" t="s">
        <v>46</v>
      </c>
      <c r="J9" s="555"/>
      <c r="K9" s="555"/>
      <c r="L9" s="555"/>
      <c r="M9" s="959"/>
    </row>
    <row r="10" spans="1:13" ht="211.5" customHeight="1" x14ac:dyDescent="0.35">
      <c r="A10" s="926"/>
      <c r="B10" s="956"/>
      <c r="C10" s="961"/>
      <c r="D10" s="961"/>
      <c r="E10" s="778" t="s">
        <v>346</v>
      </c>
      <c r="F10" s="778" t="s">
        <v>347</v>
      </c>
      <c r="G10" s="778" t="s">
        <v>348</v>
      </c>
      <c r="H10" s="778" t="s">
        <v>349</v>
      </c>
      <c r="I10" s="557" t="s">
        <v>350</v>
      </c>
      <c r="J10" s="481"/>
      <c r="K10" s="481"/>
      <c r="L10" s="481"/>
      <c r="M10" s="959"/>
    </row>
    <row r="11" spans="1:13" ht="17.649999999999999" customHeight="1" x14ac:dyDescent="0.35">
      <c r="A11" s="926">
        <v>5</v>
      </c>
      <c r="B11" s="956" t="s">
        <v>351</v>
      </c>
      <c r="C11" s="957" t="s">
        <v>352</v>
      </c>
      <c r="D11" s="961"/>
      <c r="E11" s="556"/>
      <c r="F11" s="554"/>
      <c r="G11" s="554"/>
      <c r="H11" s="554"/>
      <c r="I11" s="554" t="s">
        <v>46</v>
      </c>
      <c r="J11" s="555"/>
      <c r="K11" s="555"/>
      <c r="L11" s="555"/>
      <c r="M11" s="959"/>
    </row>
    <row r="12" spans="1:13" ht="264.75" customHeight="1" x14ac:dyDescent="0.35">
      <c r="A12" s="926"/>
      <c r="B12" s="956"/>
      <c r="C12" s="957"/>
      <c r="D12" s="961"/>
      <c r="E12" s="778" t="s">
        <v>353</v>
      </c>
      <c r="F12" s="778" t="s">
        <v>354</v>
      </c>
      <c r="G12" s="778" t="s">
        <v>355</v>
      </c>
      <c r="H12" s="778" t="s">
        <v>356</v>
      </c>
      <c r="I12" s="778" t="s">
        <v>357</v>
      </c>
      <c r="J12" s="481"/>
      <c r="K12" s="481"/>
      <c r="L12" s="481"/>
      <c r="M12" s="959"/>
    </row>
    <row r="13" spans="1:13" ht="17.649999999999999" customHeight="1" x14ac:dyDescent="0.35">
      <c r="A13" s="926">
        <v>6</v>
      </c>
      <c r="B13" s="956" t="s">
        <v>358</v>
      </c>
      <c r="C13" s="957" t="s">
        <v>359</v>
      </c>
      <c r="D13" s="961"/>
      <c r="E13" s="556"/>
      <c r="F13" s="554"/>
      <c r="G13" s="554"/>
      <c r="H13" s="554"/>
      <c r="I13" s="554" t="s">
        <v>46</v>
      </c>
      <c r="J13" s="555"/>
      <c r="K13" s="555"/>
      <c r="L13" s="555"/>
      <c r="M13" s="959"/>
    </row>
    <row r="14" spans="1:13" ht="195" customHeight="1" x14ac:dyDescent="0.35">
      <c r="A14" s="926"/>
      <c r="B14" s="956"/>
      <c r="C14" s="957"/>
      <c r="D14" s="961"/>
      <c r="E14" s="778" t="s">
        <v>360</v>
      </c>
      <c r="F14" s="778" t="s">
        <v>361</v>
      </c>
      <c r="G14" s="778" t="s">
        <v>362</v>
      </c>
      <c r="H14" s="778" t="s">
        <v>363</v>
      </c>
      <c r="I14" s="778" t="s">
        <v>364</v>
      </c>
      <c r="J14" s="481"/>
      <c r="K14" s="481"/>
      <c r="L14" s="481"/>
      <c r="M14" s="959"/>
    </row>
    <row r="15" spans="1:13" ht="17.649999999999999" customHeight="1" x14ac:dyDescent="0.35">
      <c r="A15" s="960">
        <v>7</v>
      </c>
      <c r="B15" s="956" t="s">
        <v>365</v>
      </c>
      <c r="C15" s="957" t="s">
        <v>366</v>
      </c>
      <c r="D15" s="961"/>
      <c r="E15" s="556"/>
      <c r="F15" s="554"/>
      <c r="G15" s="554"/>
      <c r="H15" s="554"/>
      <c r="I15" s="554" t="s">
        <v>46</v>
      </c>
      <c r="J15" s="555"/>
      <c r="K15" s="555"/>
      <c r="L15" s="555"/>
      <c r="M15" s="959"/>
    </row>
    <row r="16" spans="1:13" ht="237" customHeight="1" x14ac:dyDescent="0.35">
      <c r="A16" s="960"/>
      <c r="B16" s="956"/>
      <c r="C16" s="957"/>
      <c r="D16" s="961"/>
      <c r="E16" s="778" t="s">
        <v>367</v>
      </c>
      <c r="F16" s="778" t="s">
        <v>368</v>
      </c>
      <c r="G16" s="778" t="s">
        <v>369</v>
      </c>
      <c r="H16" s="778" t="s">
        <v>370</v>
      </c>
      <c r="I16" s="778" t="s">
        <v>371</v>
      </c>
      <c r="J16" s="481"/>
      <c r="K16" s="481"/>
      <c r="L16" s="481"/>
      <c r="M16" s="959"/>
    </row>
    <row r="17" spans="1:13" ht="17.649999999999999" customHeight="1" x14ac:dyDescent="0.35">
      <c r="A17" s="926">
        <v>8</v>
      </c>
      <c r="B17" s="956" t="s">
        <v>372</v>
      </c>
      <c r="C17" s="957" t="s">
        <v>373</v>
      </c>
      <c r="D17" s="961"/>
      <c r="E17" s="556"/>
      <c r="F17" s="554"/>
      <c r="G17" s="554"/>
      <c r="H17" s="554"/>
      <c r="I17" s="554" t="s">
        <v>46</v>
      </c>
      <c r="J17" s="555"/>
      <c r="K17" s="555"/>
      <c r="L17" s="555"/>
      <c r="M17" s="959"/>
    </row>
    <row r="18" spans="1:13" ht="194.25" customHeight="1" x14ac:dyDescent="0.35">
      <c r="A18" s="926"/>
      <c r="B18" s="956"/>
      <c r="C18" s="957"/>
      <c r="D18" s="961"/>
      <c r="E18" s="778" t="s">
        <v>374</v>
      </c>
      <c r="F18" s="778" t="s">
        <v>375</v>
      </c>
      <c r="G18" s="778" t="s">
        <v>376</v>
      </c>
      <c r="H18" s="778" t="s">
        <v>377</v>
      </c>
      <c r="I18" s="778" t="s">
        <v>378</v>
      </c>
      <c r="J18" s="481"/>
      <c r="K18" s="481"/>
      <c r="L18" s="481"/>
      <c r="M18" s="959"/>
    </row>
    <row r="19" spans="1:13" ht="17.649999999999999" customHeight="1" x14ac:dyDescent="0.35">
      <c r="A19" s="926">
        <v>9</v>
      </c>
      <c r="B19" s="956" t="s">
        <v>221</v>
      </c>
      <c r="C19" s="957" t="s">
        <v>379</v>
      </c>
      <c r="D19" s="961"/>
      <c r="E19" s="556"/>
      <c r="F19" s="554"/>
      <c r="G19" s="554"/>
      <c r="H19" s="554"/>
      <c r="I19" s="554" t="s">
        <v>46</v>
      </c>
      <c r="J19" s="555"/>
      <c r="K19" s="555"/>
      <c r="L19" s="555"/>
      <c r="M19" s="959"/>
    </row>
    <row r="20" spans="1:13" ht="232.15" customHeight="1" x14ac:dyDescent="0.35">
      <c r="A20" s="926"/>
      <c r="B20" s="956"/>
      <c r="C20" s="961"/>
      <c r="D20" s="961"/>
      <c r="E20" s="778" t="s">
        <v>380</v>
      </c>
      <c r="F20" s="778" t="s">
        <v>381</v>
      </c>
      <c r="G20" s="778" t="s">
        <v>382</v>
      </c>
      <c r="H20" s="778" t="s">
        <v>383</v>
      </c>
      <c r="I20" s="778" t="s">
        <v>384</v>
      </c>
      <c r="J20" s="481"/>
      <c r="K20" s="481"/>
      <c r="L20" s="481"/>
      <c r="M20" s="959"/>
    </row>
    <row r="21" spans="1:13" ht="17.649999999999999" customHeight="1" x14ac:dyDescent="0.35">
      <c r="A21" s="926">
        <v>10</v>
      </c>
      <c r="B21" s="956" t="s">
        <v>385</v>
      </c>
      <c r="C21" s="957" t="s">
        <v>386</v>
      </c>
      <c r="D21" s="957"/>
      <c r="E21" s="556" t="s">
        <v>46</v>
      </c>
      <c r="F21" s="554"/>
      <c r="G21" s="554"/>
      <c r="H21" s="554"/>
      <c r="I21" s="554" t="s">
        <v>46</v>
      </c>
      <c r="J21" s="555"/>
      <c r="K21" s="555"/>
      <c r="L21" s="555"/>
      <c r="M21" s="959"/>
    </row>
    <row r="22" spans="1:13" ht="161.5" customHeight="1" x14ac:dyDescent="0.35">
      <c r="A22" s="926"/>
      <c r="B22" s="956"/>
      <c r="C22" s="957"/>
      <c r="D22" s="957"/>
      <c r="E22" s="778" t="s">
        <v>387</v>
      </c>
      <c r="F22" s="778" t="s">
        <v>388</v>
      </c>
      <c r="G22" s="778" t="s">
        <v>389</v>
      </c>
      <c r="H22" s="778" t="s">
        <v>390</v>
      </c>
      <c r="I22" s="778" t="s">
        <v>391</v>
      </c>
      <c r="J22" s="481"/>
      <c r="K22" s="481"/>
      <c r="L22" s="481"/>
      <c r="M22" s="959"/>
    </row>
    <row r="23" spans="1:13" customFormat="1" ht="14.5" x14ac:dyDescent="0.35">
      <c r="A23" s="558"/>
      <c r="B23" s="559"/>
      <c r="C23" s="559"/>
      <c r="D23" s="559"/>
      <c r="E23" s="559"/>
      <c r="F23" s="559"/>
      <c r="G23" s="559"/>
      <c r="H23" s="559"/>
      <c r="I23" s="559"/>
      <c r="J23" s="559"/>
      <c r="K23" s="559"/>
      <c r="L23" s="559"/>
      <c r="M23" s="560"/>
    </row>
    <row r="24" spans="1:13" customFormat="1" ht="17" x14ac:dyDescent="0.45">
      <c r="A24" s="561"/>
      <c r="B24" s="562" t="s">
        <v>210</v>
      </c>
      <c r="M24" s="563"/>
    </row>
    <row r="25" spans="1:13" customFormat="1" ht="14.5" x14ac:dyDescent="0.35">
      <c r="A25" s="561"/>
      <c r="M25" s="563"/>
    </row>
    <row r="26" spans="1:13" x14ac:dyDescent="0.35">
      <c r="A26" s="495"/>
      <c r="M26" s="499"/>
    </row>
    <row r="27" spans="1:13" x14ac:dyDescent="0.35">
      <c r="A27" s="564"/>
      <c r="B27" s="565"/>
      <c r="C27" s="565"/>
      <c r="D27" s="565"/>
      <c r="E27" s="565"/>
      <c r="F27" s="565"/>
      <c r="G27" s="565"/>
      <c r="H27" s="565"/>
      <c r="I27" s="565"/>
      <c r="J27" s="565"/>
      <c r="K27" s="565"/>
      <c r="L27" s="565"/>
      <c r="M27" s="566"/>
    </row>
  </sheetData>
  <mergeCells count="57">
    <mergeCell ref="A21:A22"/>
    <mergeCell ref="B21:B22"/>
    <mergeCell ref="C21:C22"/>
    <mergeCell ref="D21:D22"/>
    <mergeCell ref="M21:M22"/>
    <mergeCell ref="A17:A18"/>
    <mergeCell ref="B17:B18"/>
    <mergeCell ref="C17:C18"/>
    <mergeCell ref="D17:D18"/>
    <mergeCell ref="M17:M18"/>
    <mergeCell ref="A19:A20"/>
    <mergeCell ref="B19:B20"/>
    <mergeCell ref="C19:C20"/>
    <mergeCell ref="D19:D20"/>
    <mergeCell ref="M19:M20"/>
    <mergeCell ref="A13:A14"/>
    <mergeCell ref="B13:B14"/>
    <mergeCell ref="C13:C14"/>
    <mergeCell ref="D13:D14"/>
    <mergeCell ref="M13:M14"/>
    <mergeCell ref="A15:A16"/>
    <mergeCell ref="B15:B16"/>
    <mergeCell ref="C15:C16"/>
    <mergeCell ref="D15:D16"/>
    <mergeCell ref="M15:M16"/>
    <mergeCell ref="A9:A10"/>
    <mergeCell ref="B9:B10"/>
    <mergeCell ref="C9:C10"/>
    <mergeCell ref="D9:D10"/>
    <mergeCell ref="M9:M10"/>
    <mergeCell ref="A11:A12"/>
    <mergeCell ref="B11:B12"/>
    <mergeCell ref="C11:C12"/>
    <mergeCell ref="D11:D12"/>
    <mergeCell ref="M11:M12"/>
    <mergeCell ref="A5:A6"/>
    <mergeCell ref="B5:B6"/>
    <mergeCell ref="C5:C6"/>
    <mergeCell ref="D5:D6"/>
    <mergeCell ref="M5:M6"/>
    <mergeCell ref="A7:A8"/>
    <mergeCell ref="B7:B8"/>
    <mergeCell ref="C7:C8"/>
    <mergeCell ref="D7:D8"/>
    <mergeCell ref="M7:M8"/>
    <mergeCell ref="M1:M2"/>
    <mergeCell ref="A3:A4"/>
    <mergeCell ref="B3:B4"/>
    <mergeCell ref="C3:C4"/>
    <mergeCell ref="D3:D4"/>
    <mergeCell ref="M3:M4"/>
    <mergeCell ref="A1:A2"/>
    <mergeCell ref="B1:B2"/>
    <mergeCell ref="C1:C2"/>
    <mergeCell ref="D1:D2"/>
    <mergeCell ref="E1:I1"/>
    <mergeCell ref="J1:L1"/>
  </mergeCells>
  <pageMargins left="0.59055118110236227" right="0.59055118110236227" top="0.94488188976377963" bottom="0.86614173228346458" header="0.31496062992125984" footer="0.31496062992125984"/>
  <pageSetup scale="42" orientation="landscape" horizontalDpi="4294967293" r:id="rId1"/>
  <headerFooter>
    <oddHeader>&amp;L&amp;"Palatino Linotype,Negrita"&amp;18
Componente 4: Eficiencia energética&amp;C&amp;"Palatino Linotype,Negrita"&amp;24Programa Fábricas de Productividad
&amp;20Guía para el diagnóstico de la eficiencia de la empresa&amp;R&amp;G</oddHeader>
    <oddFooter>&amp;L&amp;"Palatino Linotype,Normal"&amp;G
&amp;"Palatino Linotype,Cursiva"© Colombia Productiva&amp;C&amp;G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2" manualBreakCount="2">
    <brk id="12" max="12" man="1"/>
    <brk id="20" max="12"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A98B8-C558-469A-AB66-56F2FE73A02B}">
  <sheetPr>
    <tabColor theme="4" tint="-0.249977111117893"/>
  </sheetPr>
  <dimension ref="A1:M399"/>
  <sheetViews>
    <sheetView showGridLines="0" zoomScale="50" zoomScaleNormal="50" zoomScaleSheetLayoutView="85" zoomScalePageLayoutView="65" workbookViewId="0">
      <selection activeCell="J2" sqref="J2:L2"/>
    </sheetView>
  </sheetViews>
  <sheetFormatPr baseColWidth="10" defaultColWidth="11.81640625" defaultRowHeight="17" x14ac:dyDescent="0.45"/>
  <cols>
    <col min="1" max="1" width="4.7265625" style="571" customWidth="1"/>
    <col min="2" max="2" width="27.1796875" style="296" customWidth="1"/>
    <col min="3" max="3" width="29.26953125" style="296" customWidth="1"/>
    <col min="4" max="4" width="26.7265625" style="296" customWidth="1"/>
    <col min="5" max="8" width="21.54296875" style="296" customWidth="1"/>
    <col min="9" max="9" width="22" style="296" customWidth="1"/>
    <col min="10" max="12" width="8.54296875" style="296" customWidth="1"/>
    <col min="13" max="13" width="56.26953125" style="296" customWidth="1"/>
    <col min="14" max="16384" width="11.81640625" style="296"/>
  </cols>
  <sheetData>
    <row r="1" spans="1:13" ht="39.65" customHeight="1" x14ac:dyDescent="0.45">
      <c r="A1" s="940">
        <v>5</v>
      </c>
      <c r="B1" s="941" t="s">
        <v>21</v>
      </c>
      <c r="C1" s="942" t="s">
        <v>22</v>
      </c>
      <c r="D1" s="941" t="s">
        <v>23</v>
      </c>
      <c r="E1" s="942" t="s">
        <v>24</v>
      </c>
      <c r="F1" s="942"/>
      <c r="G1" s="942"/>
      <c r="H1" s="942"/>
      <c r="I1" s="942"/>
      <c r="J1" s="915" t="s">
        <v>25</v>
      </c>
      <c r="K1" s="915"/>
      <c r="L1" s="915"/>
      <c r="M1" s="907" t="str">
        <f>+'1'!M1:M2</f>
        <v>Observaciones generales  y/o afectaciones derivadas de la emergencia sanitaria COVID-19</v>
      </c>
    </row>
    <row r="2" spans="1:13" ht="39.65" customHeight="1" x14ac:dyDescent="0.45">
      <c r="A2" s="940"/>
      <c r="B2" s="941"/>
      <c r="C2" s="942"/>
      <c r="D2" s="941"/>
      <c r="E2" s="503">
        <v>1</v>
      </c>
      <c r="F2" s="504">
        <v>2</v>
      </c>
      <c r="G2" s="505">
        <v>3</v>
      </c>
      <c r="H2" s="506">
        <v>4</v>
      </c>
      <c r="I2" s="507">
        <v>5</v>
      </c>
      <c r="J2" s="772">
        <v>2022</v>
      </c>
      <c r="K2" s="772">
        <v>2023</v>
      </c>
      <c r="L2" s="772">
        <v>2024</v>
      </c>
      <c r="M2" s="907"/>
    </row>
    <row r="3" spans="1:13" s="480" customFormat="1" ht="17.649999999999999" customHeight="1" x14ac:dyDescent="0.35">
      <c r="A3" s="908">
        <v>1</v>
      </c>
      <c r="B3" s="962" t="s">
        <v>392</v>
      </c>
      <c r="C3" s="964" t="s">
        <v>393</v>
      </c>
      <c r="D3" s="965" t="s">
        <v>394</v>
      </c>
      <c r="E3" s="567">
        <v>1</v>
      </c>
      <c r="F3" s="568"/>
      <c r="G3" s="568"/>
      <c r="H3" s="568"/>
      <c r="I3" s="568"/>
      <c r="J3" s="479">
        <v>5</v>
      </c>
      <c r="K3" s="479">
        <v>5</v>
      </c>
      <c r="L3" s="479">
        <v>5</v>
      </c>
      <c r="M3" s="911"/>
    </row>
    <row r="4" spans="1:13" s="480" customFormat="1" ht="119" x14ac:dyDescent="0.35">
      <c r="A4" s="908"/>
      <c r="B4" s="963"/>
      <c r="C4" s="964"/>
      <c r="D4" s="965"/>
      <c r="E4" s="779" t="s">
        <v>395</v>
      </c>
      <c r="F4" s="779" t="s">
        <v>396</v>
      </c>
      <c r="G4" s="569" t="s">
        <v>397</v>
      </c>
      <c r="H4" s="779" t="s">
        <v>398</v>
      </c>
      <c r="I4" s="570" t="s">
        <v>399</v>
      </c>
      <c r="J4" s="481"/>
      <c r="K4" s="481"/>
      <c r="L4" s="481"/>
      <c r="M4" s="911"/>
    </row>
    <row r="5" spans="1:13" s="480" customFormat="1" ht="17.649999999999999" customHeight="1" x14ac:dyDescent="0.35">
      <c r="A5" s="908">
        <v>2</v>
      </c>
      <c r="B5" s="971" t="s">
        <v>400</v>
      </c>
      <c r="C5" s="910" t="s">
        <v>401</v>
      </c>
      <c r="D5" s="910" t="s">
        <v>402</v>
      </c>
      <c r="E5" s="478">
        <v>1</v>
      </c>
      <c r="F5" s="478"/>
      <c r="G5" s="478"/>
      <c r="H5" s="478"/>
      <c r="I5" s="478"/>
      <c r="J5" s="479"/>
      <c r="K5" s="479"/>
      <c r="L5" s="479"/>
      <c r="M5" s="911"/>
    </row>
    <row r="6" spans="1:13" s="480" customFormat="1" ht="121.5" customHeight="1" x14ac:dyDescent="0.35">
      <c r="A6" s="908"/>
      <c r="B6" s="971"/>
      <c r="C6" s="910"/>
      <c r="D6" s="910"/>
      <c r="E6" s="779" t="s">
        <v>403</v>
      </c>
      <c r="F6" s="779" t="s">
        <v>404</v>
      </c>
      <c r="G6" s="569" t="s">
        <v>405</v>
      </c>
      <c r="H6" s="569" t="s">
        <v>406</v>
      </c>
      <c r="I6" s="570" t="s">
        <v>407</v>
      </c>
      <c r="J6" s="481"/>
      <c r="K6" s="481"/>
      <c r="L6" s="481"/>
      <c r="M6" s="911"/>
    </row>
    <row r="7" spans="1:13" s="480" customFormat="1" ht="17.649999999999999" customHeight="1" x14ac:dyDescent="0.35">
      <c r="A7" s="908">
        <v>3</v>
      </c>
      <c r="B7" s="962" t="s">
        <v>408</v>
      </c>
      <c r="C7" s="967" t="s">
        <v>409</v>
      </c>
      <c r="D7" s="969" t="s">
        <v>410</v>
      </c>
      <c r="E7" s="567">
        <v>1</v>
      </c>
      <c r="F7" s="568"/>
      <c r="G7" s="568"/>
      <c r="H7" s="568"/>
      <c r="I7" s="568"/>
      <c r="J7" s="479"/>
      <c r="K7" s="479"/>
      <c r="L7" s="479"/>
      <c r="M7" s="911"/>
    </row>
    <row r="8" spans="1:13" s="480" customFormat="1" ht="174" customHeight="1" x14ac:dyDescent="0.35">
      <c r="A8" s="908"/>
      <c r="B8" s="966"/>
      <c r="C8" s="968"/>
      <c r="D8" s="970"/>
      <c r="E8" s="569" t="s">
        <v>411</v>
      </c>
      <c r="F8" s="779" t="s">
        <v>412</v>
      </c>
      <c r="G8" s="779" t="s">
        <v>413</v>
      </c>
      <c r="H8" s="779" t="s">
        <v>414</v>
      </c>
      <c r="I8" s="569" t="s">
        <v>415</v>
      </c>
      <c r="J8" s="481"/>
      <c r="K8" s="481"/>
      <c r="L8" s="481"/>
      <c r="M8" s="911"/>
    </row>
    <row r="9" spans="1:13" s="480" customFormat="1" ht="17.649999999999999" customHeight="1" x14ac:dyDescent="0.35">
      <c r="A9" s="908">
        <v>4</v>
      </c>
      <c r="B9" s="972" t="s">
        <v>416</v>
      </c>
      <c r="C9" s="967" t="s">
        <v>417</v>
      </c>
      <c r="D9" s="967" t="s">
        <v>418</v>
      </c>
      <c r="E9" s="567">
        <v>1</v>
      </c>
      <c r="F9" s="568"/>
      <c r="G9" s="568"/>
      <c r="H9" s="568"/>
      <c r="I9" s="568"/>
      <c r="J9" s="479"/>
      <c r="K9" s="479"/>
      <c r="L9" s="479"/>
      <c r="M9" s="911"/>
    </row>
    <row r="10" spans="1:13" s="480" customFormat="1" ht="148.5" customHeight="1" x14ac:dyDescent="0.35">
      <c r="A10" s="908"/>
      <c r="B10" s="973"/>
      <c r="C10" s="975"/>
      <c r="D10" s="975"/>
      <c r="E10" s="779" t="s">
        <v>419</v>
      </c>
      <c r="F10" s="480" t="s">
        <v>420</v>
      </c>
      <c r="G10" s="779" t="s">
        <v>421</v>
      </c>
      <c r="H10" s="779" t="s">
        <v>422</v>
      </c>
      <c r="I10" s="480" t="s">
        <v>423</v>
      </c>
      <c r="J10" s="481"/>
      <c r="K10" s="481"/>
      <c r="L10" s="481"/>
      <c r="M10" s="911"/>
    </row>
    <row r="11" spans="1:13" s="480" customFormat="1" ht="17.649999999999999" customHeight="1" x14ac:dyDescent="0.35">
      <c r="A11" s="908">
        <v>5</v>
      </c>
      <c r="B11" s="972" t="s">
        <v>424</v>
      </c>
      <c r="C11" s="964" t="s">
        <v>425</v>
      </c>
      <c r="D11" s="954" t="s">
        <v>426</v>
      </c>
      <c r="E11" s="567">
        <v>1</v>
      </c>
      <c r="F11" s="568"/>
      <c r="G11" s="568"/>
      <c r="H11" s="568"/>
      <c r="I11" s="568"/>
      <c r="J11" s="479"/>
      <c r="K11" s="479"/>
      <c r="L11" s="479"/>
      <c r="M11" s="911"/>
    </row>
    <row r="12" spans="1:13" s="480" customFormat="1" ht="153" x14ac:dyDescent="0.35">
      <c r="A12" s="908"/>
      <c r="B12" s="973"/>
      <c r="C12" s="964"/>
      <c r="D12" s="974"/>
      <c r="E12" s="779" t="s">
        <v>427</v>
      </c>
      <c r="F12" s="779" t="s">
        <v>428</v>
      </c>
      <c r="G12" s="779" t="s">
        <v>429</v>
      </c>
      <c r="H12" s="570" t="s">
        <v>430</v>
      </c>
      <c r="I12" s="569">
        <v>1</v>
      </c>
      <c r="J12" s="481"/>
      <c r="K12" s="481"/>
      <c r="L12" s="481"/>
      <c r="M12" s="911"/>
    </row>
    <row r="13" spans="1:13" s="498" customFormat="1" ht="15.5" x14ac:dyDescent="0.35">
      <c r="A13" s="558"/>
      <c r="B13" s="559"/>
      <c r="C13" s="559"/>
      <c r="D13" s="559"/>
      <c r="E13" s="559"/>
      <c r="F13" s="559"/>
      <c r="G13" s="559"/>
      <c r="H13" s="559"/>
      <c r="I13" s="559"/>
      <c r="J13" s="559"/>
      <c r="K13" s="559"/>
      <c r="L13" s="559"/>
      <c r="M13" s="560"/>
    </row>
    <row r="14" spans="1:13" s="498" customFormat="1" x14ac:dyDescent="0.45">
      <c r="A14" s="561"/>
      <c r="B14" s="562" t="s">
        <v>210</v>
      </c>
      <c r="C14"/>
      <c r="D14"/>
      <c r="E14"/>
      <c r="F14"/>
      <c r="G14"/>
      <c r="H14"/>
      <c r="I14"/>
      <c r="J14"/>
      <c r="K14"/>
      <c r="L14"/>
      <c r="M14" s="563"/>
    </row>
    <row r="15" spans="1:13" s="498" customFormat="1" ht="15.5" x14ac:dyDescent="0.35">
      <c r="A15" s="561"/>
      <c r="B15"/>
      <c r="C15"/>
      <c r="D15"/>
      <c r="E15"/>
      <c r="F15"/>
      <c r="G15"/>
      <c r="H15"/>
      <c r="I15"/>
      <c r="J15"/>
      <c r="K15"/>
      <c r="L15"/>
      <c r="M15" s="563"/>
    </row>
    <row r="16" spans="1:13" s="498" customFormat="1" ht="15.5" x14ac:dyDescent="0.35">
      <c r="A16" s="561"/>
      <c r="B16"/>
      <c r="C16"/>
      <c r="D16"/>
      <c r="E16"/>
      <c r="F16"/>
      <c r="G16"/>
      <c r="H16"/>
      <c r="I16"/>
      <c r="J16"/>
      <c r="K16"/>
      <c r="L16"/>
      <c r="M16" s="563"/>
    </row>
    <row r="17" spans="1:13" s="498" customFormat="1" ht="15.5" x14ac:dyDescent="0.35">
      <c r="A17" s="561"/>
      <c r="B17"/>
      <c r="C17"/>
      <c r="D17"/>
      <c r="E17"/>
      <c r="F17"/>
      <c r="G17"/>
      <c r="H17"/>
      <c r="I17"/>
      <c r="J17"/>
      <c r="K17"/>
      <c r="L17"/>
      <c r="M17" s="563"/>
    </row>
    <row r="18" spans="1:13" s="498" customFormat="1" ht="15.5" x14ac:dyDescent="0.35">
      <c r="A18" s="561"/>
      <c r="B18"/>
      <c r="C18"/>
      <c r="D18"/>
      <c r="E18"/>
      <c r="F18"/>
      <c r="G18"/>
      <c r="H18"/>
      <c r="I18"/>
      <c r="J18"/>
      <c r="K18"/>
      <c r="L18"/>
      <c r="M18" s="563"/>
    </row>
    <row r="19" spans="1:13" s="498" customFormat="1" ht="15.5" x14ac:dyDescent="0.35">
      <c r="A19" s="561"/>
      <c r="B19"/>
      <c r="C19"/>
      <c r="D19"/>
      <c r="E19"/>
      <c r="F19"/>
      <c r="G19"/>
      <c r="H19"/>
      <c r="I19"/>
      <c r="J19"/>
      <c r="K19"/>
      <c r="L19"/>
      <c r="M19" s="563"/>
    </row>
    <row r="20" spans="1:13" s="498" customFormat="1" ht="15.5" x14ac:dyDescent="0.35">
      <c r="A20" s="561"/>
      <c r="B20"/>
      <c r="C20"/>
      <c r="D20"/>
      <c r="E20"/>
      <c r="F20"/>
      <c r="G20"/>
      <c r="H20"/>
      <c r="I20"/>
      <c r="J20"/>
      <c r="K20"/>
      <c r="L20"/>
      <c r="M20" s="563"/>
    </row>
    <row r="21" spans="1:13" s="498" customFormat="1" ht="15.5" x14ac:dyDescent="0.35">
      <c r="A21" s="495"/>
      <c r="M21" s="499"/>
    </row>
    <row r="22" spans="1:13" s="498" customFormat="1" ht="15.5" x14ac:dyDescent="0.35">
      <c r="A22" s="495"/>
      <c r="M22" s="499"/>
    </row>
    <row r="23" spans="1:13" s="498" customFormat="1" ht="15.5" x14ac:dyDescent="0.35">
      <c r="A23" s="495"/>
      <c r="M23" s="499"/>
    </row>
    <row r="24" spans="1:13" s="498" customFormat="1" ht="15.5" x14ac:dyDescent="0.35">
      <c r="A24" s="495"/>
      <c r="M24" s="499"/>
    </row>
    <row r="25" spans="1:13" s="498" customFormat="1" ht="15.5" x14ac:dyDescent="0.35">
      <c r="A25" s="495"/>
      <c r="M25" s="499"/>
    </row>
    <row r="26" spans="1:13" s="498" customFormat="1" ht="15.5" x14ac:dyDescent="0.35">
      <c r="A26" s="495"/>
      <c r="M26" s="499"/>
    </row>
    <row r="27" spans="1:13" s="498" customFormat="1" ht="15.5" x14ac:dyDescent="0.35">
      <c r="A27" s="495"/>
      <c r="M27" s="499"/>
    </row>
    <row r="28" spans="1:13" s="498" customFormat="1" ht="15.5" x14ac:dyDescent="0.35">
      <c r="A28" s="495"/>
      <c r="M28" s="499"/>
    </row>
    <row r="29" spans="1:13" s="498" customFormat="1" ht="15.5" x14ac:dyDescent="0.35">
      <c r="A29" s="495"/>
      <c r="M29" s="499"/>
    </row>
    <row r="30" spans="1:13" s="498" customFormat="1" ht="15.5" x14ac:dyDescent="0.35">
      <c r="A30" s="495"/>
      <c r="M30" s="499"/>
    </row>
    <row r="31" spans="1:13" s="498" customFormat="1" ht="15.5" x14ac:dyDescent="0.35">
      <c r="A31" s="495"/>
      <c r="M31" s="499"/>
    </row>
    <row r="32" spans="1:13" s="498" customFormat="1" ht="15.5" x14ac:dyDescent="0.35">
      <c r="A32" s="495"/>
      <c r="M32" s="499"/>
    </row>
    <row r="33" spans="1:13" s="498" customFormat="1" ht="15.5" x14ac:dyDescent="0.35">
      <c r="A33" s="495"/>
      <c r="M33" s="499"/>
    </row>
    <row r="34" spans="1:13" s="498" customFormat="1" ht="15.5" x14ac:dyDescent="0.35">
      <c r="A34" s="495"/>
      <c r="M34" s="499"/>
    </row>
    <row r="35" spans="1:13" s="498" customFormat="1" ht="15.5" x14ac:dyDescent="0.35">
      <c r="A35" s="495"/>
      <c r="M35" s="499"/>
    </row>
    <row r="36" spans="1:13" s="498" customFormat="1" ht="15.5" x14ac:dyDescent="0.35">
      <c r="A36" s="564"/>
      <c r="B36" s="565"/>
      <c r="C36" s="565"/>
      <c r="D36" s="565"/>
      <c r="E36" s="565"/>
      <c r="F36" s="565"/>
      <c r="G36" s="565"/>
      <c r="H36" s="565"/>
      <c r="I36" s="565"/>
      <c r="J36" s="565"/>
      <c r="K36" s="565"/>
      <c r="L36" s="565"/>
      <c r="M36" s="566"/>
    </row>
    <row r="37" spans="1:13" s="498" customFormat="1" ht="15.5" x14ac:dyDescent="0.35"/>
    <row r="38" spans="1:13" s="498" customFormat="1" ht="15.5" x14ac:dyDescent="0.35"/>
    <row r="39" spans="1:13" s="498" customFormat="1" ht="15.5" x14ac:dyDescent="0.35"/>
    <row r="40" spans="1:13" s="498" customFormat="1" ht="15.5" x14ac:dyDescent="0.35"/>
    <row r="41" spans="1:13" s="498" customFormat="1" ht="15.5" x14ac:dyDescent="0.35"/>
    <row r="42" spans="1:13" s="498" customFormat="1" ht="15.5" x14ac:dyDescent="0.35"/>
    <row r="43" spans="1:13" s="498" customFormat="1" ht="15.5" x14ac:dyDescent="0.35"/>
    <row r="44" spans="1:13" s="498" customFormat="1" ht="15.5" x14ac:dyDescent="0.35"/>
    <row r="45" spans="1:13" s="498" customFormat="1" ht="15.5" x14ac:dyDescent="0.35"/>
    <row r="46" spans="1:13" s="498" customFormat="1" ht="15.5" x14ac:dyDescent="0.35"/>
    <row r="47" spans="1:13" s="498" customFormat="1" ht="15.5" x14ac:dyDescent="0.35"/>
    <row r="48" spans="1:13" s="498" customFormat="1" ht="15.5" x14ac:dyDescent="0.35"/>
    <row r="49" s="498" customFormat="1" ht="15.5" x14ac:dyDescent="0.35"/>
    <row r="50" s="498" customFormat="1" ht="15.5" x14ac:dyDescent="0.35"/>
    <row r="51" s="498" customFormat="1" ht="15.5" x14ac:dyDescent="0.35"/>
    <row r="52" s="498" customFormat="1" ht="15.5" x14ac:dyDescent="0.35"/>
    <row r="53" s="498" customFormat="1" ht="15.5" x14ac:dyDescent="0.35"/>
    <row r="54" s="498" customFormat="1" ht="15.5" x14ac:dyDescent="0.35"/>
    <row r="55" s="498" customFormat="1" ht="15.5" x14ac:dyDescent="0.35"/>
    <row r="56" s="498" customFormat="1" ht="15.5" x14ac:dyDescent="0.35"/>
    <row r="57" s="498" customFormat="1" ht="15.5" x14ac:dyDescent="0.35"/>
    <row r="58" s="498" customFormat="1" ht="15.5" x14ac:dyDescent="0.35"/>
    <row r="59" s="498" customFormat="1" ht="15.5" x14ac:dyDescent="0.35"/>
    <row r="60" s="498" customFormat="1" ht="15.5" x14ac:dyDescent="0.35"/>
    <row r="61" s="498" customFormat="1" ht="15.5" x14ac:dyDescent="0.35"/>
    <row r="62" s="498" customFormat="1" ht="15.5" x14ac:dyDescent="0.35"/>
    <row r="63" s="498" customFormat="1" ht="15.5" x14ac:dyDescent="0.35"/>
    <row r="64" s="498" customFormat="1" ht="15.5" x14ac:dyDescent="0.35"/>
    <row r="65" s="498" customFormat="1" ht="15.5" x14ac:dyDescent="0.35"/>
    <row r="66" s="498" customFormat="1" ht="15.5" x14ac:dyDescent="0.35"/>
    <row r="67" s="498" customFormat="1" ht="15.5" x14ac:dyDescent="0.35"/>
    <row r="68" s="498" customFormat="1" ht="15.5" x14ac:dyDescent="0.35"/>
    <row r="69" s="498" customFormat="1" ht="15.5" x14ac:dyDescent="0.35"/>
    <row r="70" s="498" customFormat="1" ht="15.5" x14ac:dyDescent="0.35"/>
    <row r="71" s="498" customFormat="1" ht="15.5" x14ac:dyDescent="0.35"/>
    <row r="72" s="498" customFormat="1" ht="15.5" x14ac:dyDescent="0.35"/>
    <row r="73" s="498" customFormat="1" ht="15.5" x14ac:dyDescent="0.35"/>
    <row r="74" s="498" customFormat="1" ht="15.5" x14ac:dyDescent="0.35"/>
    <row r="75" s="498" customFormat="1" ht="15.5" x14ac:dyDescent="0.35"/>
    <row r="76" s="498" customFormat="1" ht="15.5" x14ac:dyDescent="0.35"/>
    <row r="77" s="498" customFormat="1" ht="15.5" x14ac:dyDescent="0.35"/>
    <row r="78" s="498" customFormat="1" ht="15.5" x14ac:dyDescent="0.35"/>
    <row r="79" s="498" customFormat="1" ht="15.5" x14ac:dyDescent="0.35"/>
    <row r="80" s="498" customFormat="1" ht="15.5" x14ac:dyDescent="0.35"/>
    <row r="81" s="498" customFormat="1" ht="15.5" x14ac:dyDescent="0.35"/>
    <row r="82" s="498" customFormat="1" ht="15.5" x14ac:dyDescent="0.35"/>
    <row r="83" s="498" customFormat="1" ht="15.5" x14ac:dyDescent="0.35"/>
    <row r="84" s="498" customFormat="1" ht="15.5" x14ac:dyDescent="0.35"/>
    <row r="85" s="498" customFormat="1" ht="15.5" x14ac:dyDescent="0.35"/>
    <row r="86" s="498" customFormat="1" ht="15.5" x14ac:dyDescent="0.35"/>
    <row r="87" s="498" customFormat="1" ht="15.5" x14ac:dyDescent="0.35"/>
    <row r="88" s="498" customFormat="1" ht="15.5" x14ac:dyDescent="0.35"/>
    <row r="89" s="498" customFormat="1" ht="15.5" x14ac:dyDescent="0.35"/>
    <row r="90" s="498" customFormat="1" ht="15.5" x14ac:dyDescent="0.35"/>
    <row r="91" s="498" customFormat="1" ht="15.5" x14ac:dyDescent="0.35"/>
    <row r="92" s="498" customFormat="1" ht="15.5" x14ac:dyDescent="0.35"/>
    <row r="93" s="498" customFormat="1" ht="15.5" x14ac:dyDescent="0.35"/>
    <row r="94" s="498" customFormat="1" ht="15.5" x14ac:dyDescent="0.35"/>
    <row r="95" s="498" customFormat="1" ht="15.5" x14ac:dyDescent="0.35"/>
    <row r="96" s="498" customFormat="1" ht="15.5" x14ac:dyDescent="0.35"/>
    <row r="97" s="498" customFormat="1" ht="15.5" x14ac:dyDescent="0.35"/>
    <row r="98" s="498" customFormat="1" ht="15.5" x14ac:dyDescent="0.35"/>
    <row r="99" s="498" customFormat="1" ht="15.5" x14ac:dyDescent="0.35"/>
    <row r="100" s="498" customFormat="1" ht="15.5" x14ac:dyDescent="0.35"/>
    <row r="101" s="498" customFormat="1" ht="15.5" x14ac:dyDescent="0.35"/>
    <row r="102" s="498" customFormat="1" ht="15.5" x14ac:dyDescent="0.35"/>
    <row r="103" s="498" customFormat="1" ht="15.5" x14ac:dyDescent="0.35"/>
    <row r="104" s="498" customFormat="1" ht="15.5" x14ac:dyDescent="0.35"/>
    <row r="105" s="498" customFormat="1" ht="15.5" x14ac:dyDescent="0.35"/>
    <row r="106" s="498" customFormat="1" ht="15.5" x14ac:dyDescent="0.35"/>
    <row r="107" s="498" customFormat="1" ht="15.5" x14ac:dyDescent="0.35"/>
    <row r="108" s="498" customFormat="1" ht="15.5" x14ac:dyDescent="0.35"/>
    <row r="109" s="498" customFormat="1" ht="15.5" x14ac:dyDescent="0.35"/>
    <row r="110" s="498" customFormat="1" ht="15.5" x14ac:dyDescent="0.35"/>
    <row r="111" s="498" customFormat="1" ht="15.5" x14ac:dyDescent="0.35"/>
    <row r="112" s="498" customFormat="1" ht="15.5" x14ac:dyDescent="0.35"/>
    <row r="113" s="498" customFormat="1" ht="15.5" x14ac:dyDescent="0.35"/>
    <row r="114" s="498" customFormat="1" ht="15.5" x14ac:dyDescent="0.35"/>
    <row r="115" s="498" customFormat="1" ht="15.5" x14ac:dyDescent="0.35"/>
    <row r="116" s="498" customFormat="1" ht="15.5" x14ac:dyDescent="0.35"/>
    <row r="117" s="498" customFormat="1" ht="15.5" x14ac:dyDescent="0.35"/>
    <row r="118" s="498" customFormat="1" ht="15.5" x14ac:dyDescent="0.35"/>
    <row r="119" s="498" customFormat="1" ht="15.5" x14ac:dyDescent="0.35"/>
    <row r="120" s="498" customFormat="1" ht="15.5" x14ac:dyDescent="0.35"/>
    <row r="121" s="498" customFormat="1" ht="15.5" x14ac:dyDescent="0.35"/>
    <row r="122" s="498" customFormat="1" ht="15.5" x14ac:dyDescent="0.35"/>
    <row r="123" s="498" customFormat="1" ht="15.5" x14ac:dyDescent="0.35"/>
    <row r="124" s="498" customFormat="1" ht="15.5" x14ac:dyDescent="0.35"/>
    <row r="125" s="498" customFormat="1" ht="15.5" x14ac:dyDescent="0.35"/>
    <row r="126" s="498" customFormat="1" ht="15.5" x14ac:dyDescent="0.35"/>
    <row r="127" s="498" customFormat="1" ht="15.5" x14ac:dyDescent="0.35"/>
    <row r="128" s="498" customFormat="1" ht="15.5" x14ac:dyDescent="0.35"/>
    <row r="129" s="498" customFormat="1" ht="15.5" x14ac:dyDescent="0.35"/>
    <row r="130" s="498" customFormat="1" ht="15.5" x14ac:dyDescent="0.35"/>
    <row r="131" s="498" customFormat="1" ht="15.5" x14ac:dyDescent="0.35"/>
    <row r="132" s="498" customFormat="1" ht="15.5" x14ac:dyDescent="0.35"/>
    <row r="133" s="498" customFormat="1" ht="15.5" x14ac:dyDescent="0.35"/>
    <row r="134" s="498" customFormat="1" ht="15.5" x14ac:dyDescent="0.35"/>
    <row r="135" s="498" customFormat="1" ht="15.5" x14ac:dyDescent="0.35"/>
    <row r="136" s="498" customFormat="1" ht="15.5" x14ac:dyDescent="0.35"/>
    <row r="137" s="498" customFormat="1" ht="15.5" x14ac:dyDescent="0.35"/>
    <row r="138" s="498" customFormat="1" ht="15.5" x14ac:dyDescent="0.35"/>
    <row r="139" s="498" customFormat="1" ht="15.5" x14ac:dyDescent="0.35"/>
    <row r="140" s="498" customFormat="1" ht="15.5" x14ac:dyDescent="0.35"/>
    <row r="141" s="498" customFormat="1" ht="15.5" x14ac:dyDescent="0.35"/>
    <row r="142" s="498" customFormat="1" ht="15.5" x14ac:dyDescent="0.35"/>
    <row r="143" s="498" customFormat="1" ht="15.5" x14ac:dyDescent="0.35"/>
    <row r="144" s="498" customFormat="1" ht="15.5" x14ac:dyDescent="0.35"/>
    <row r="145" s="498" customFormat="1" ht="15.5" x14ac:dyDescent="0.35"/>
    <row r="146" s="498" customFormat="1" ht="15.5" x14ac:dyDescent="0.35"/>
    <row r="147" s="498" customFormat="1" ht="15.5" x14ac:dyDescent="0.35"/>
    <row r="148" s="498" customFormat="1" ht="15.5" x14ac:dyDescent="0.35"/>
    <row r="149" s="498" customFormat="1" ht="15.5" x14ac:dyDescent="0.35"/>
    <row r="150" s="498" customFormat="1" ht="15.5" x14ac:dyDescent="0.35"/>
    <row r="151" s="498" customFormat="1" ht="15.5" x14ac:dyDescent="0.35"/>
    <row r="152" s="498" customFormat="1" ht="15.5" x14ac:dyDescent="0.35"/>
    <row r="153" s="498" customFormat="1" ht="15.5" x14ac:dyDescent="0.35"/>
    <row r="154" s="498" customFormat="1" ht="15.5" x14ac:dyDescent="0.35"/>
    <row r="155" s="498" customFormat="1" ht="15.5" x14ac:dyDescent="0.35"/>
    <row r="156" s="498" customFormat="1" ht="15.5" x14ac:dyDescent="0.35"/>
    <row r="157" s="498" customFormat="1" ht="15.5" x14ac:dyDescent="0.35"/>
    <row r="158" s="498" customFormat="1" ht="15.5" x14ac:dyDescent="0.35"/>
    <row r="159" s="498" customFormat="1" ht="15.5" x14ac:dyDescent="0.35"/>
    <row r="160" s="498" customFormat="1" ht="15.5" x14ac:dyDescent="0.35"/>
    <row r="161" s="498" customFormat="1" ht="15.5" x14ac:dyDescent="0.35"/>
    <row r="162" s="498" customFormat="1" ht="15.5" x14ac:dyDescent="0.35"/>
    <row r="163" s="498" customFormat="1" ht="15.5" x14ac:dyDescent="0.35"/>
    <row r="164" s="498" customFormat="1" ht="15.5" x14ac:dyDescent="0.35"/>
    <row r="165" s="498" customFormat="1" ht="15.5" x14ac:dyDescent="0.35"/>
    <row r="166" s="498" customFormat="1" ht="15.5" x14ac:dyDescent="0.35"/>
    <row r="167" s="498" customFormat="1" ht="15.5" x14ac:dyDescent="0.35"/>
    <row r="168" s="498" customFormat="1" ht="15.5" x14ac:dyDescent="0.35"/>
    <row r="169" s="498" customFormat="1" ht="15.5" x14ac:dyDescent="0.35"/>
    <row r="170" s="498" customFormat="1" ht="15.5" x14ac:dyDescent="0.35"/>
    <row r="171" s="498" customFormat="1" ht="15.5" x14ac:dyDescent="0.35"/>
    <row r="172" s="498" customFormat="1" ht="15.5" x14ac:dyDescent="0.35"/>
    <row r="173" s="498" customFormat="1" ht="15.5" x14ac:dyDescent="0.35"/>
    <row r="174" s="498" customFormat="1" ht="15.5" x14ac:dyDescent="0.35"/>
    <row r="175" s="498" customFormat="1" ht="15.5" x14ac:dyDescent="0.35"/>
    <row r="176" s="498" customFormat="1" ht="15.5" x14ac:dyDescent="0.35"/>
    <row r="177" s="498" customFormat="1" ht="15.5" x14ac:dyDescent="0.35"/>
    <row r="178" s="498" customFormat="1" ht="15.5" x14ac:dyDescent="0.35"/>
    <row r="179" s="498" customFormat="1" ht="15.5" x14ac:dyDescent="0.35"/>
    <row r="180" s="498" customFormat="1" ht="15.5" x14ac:dyDescent="0.35"/>
    <row r="181" s="498" customFormat="1" ht="15.5" x14ac:dyDescent="0.35"/>
    <row r="182" s="498" customFormat="1" ht="15.5" x14ac:dyDescent="0.35"/>
    <row r="183" s="498" customFormat="1" ht="15.5" x14ac:dyDescent="0.35"/>
    <row r="184" s="498" customFormat="1" ht="15.5" x14ac:dyDescent="0.35"/>
    <row r="185" s="498" customFormat="1" ht="15.5" x14ac:dyDescent="0.35"/>
    <row r="186" s="498" customFormat="1" ht="15.5" x14ac:dyDescent="0.35"/>
    <row r="187" s="498" customFormat="1" ht="15.5" x14ac:dyDescent="0.35"/>
    <row r="188" s="498" customFormat="1" ht="15.5" x14ac:dyDescent="0.35"/>
    <row r="189" s="498" customFormat="1" ht="15.5" x14ac:dyDescent="0.35"/>
    <row r="190" s="498" customFormat="1" ht="15.5" x14ac:dyDescent="0.35"/>
    <row r="191" s="498" customFormat="1" ht="15.5" x14ac:dyDescent="0.35"/>
    <row r="192" s="498" customFormat="1" ht="15.5" x14ac:dyDescent="0.35"/>
    <row r="193" s="498" customFormat="1" ht="15.5" x14ac:dyDescent="0.35"/>
    <row r="194" s="498" customFormat="1" ht="15.5" x14ac:dyDescent="0.35"/>
    <row r="195" s="498" customFormat="1" ht="15.5" x14ac:dyDescent="0.35"/>
    <row r="196" s="498" customFormat="1" ht="15.5" x14ac:dyDescent="0.35"/>
    <row r="197" s="498" customFormat="1" ht="15.5" x14ac:dyDescent="0.35"/>
    <row r="198" s="498" customFormat="1" ht="15.5" x14ac:dyDescent="0.35"/>
    <row r="199" s="498" customFormat="1" ht="15.5" x14ac:dyDescent="0.35"/>
    <row r="200" s="498" customFormat="1" ht="15.5" x14ac:dyDescent="0.35"/>
    <row r="201" s="498" customFormat="1" ht="15.5" x14ac:dyDescent="0.35"/>
    <row r="202" s="498" customFormat="1" ht="15.5" x14ac:dyDescent="0.35"/>
    <row r="203" s="498" customFormat="1" ht="15.5" x14ac:dyDescent="0.35"/>
    <row r="204" s="498" customFormat="1" ht="15.5" x14ac:dyDescent="0.35"/>
    <row r="205" s="498" customFormat="1" ht="15.5" x14ac:dyDescent="0.35"/>
    <row r="206" s="498" customFormat="1" ht="15.5" x14ac:dyDescent="0.35"/>
    <row r="207" s="498" customFormat="1" ht="15.5" x14ac:dyDescent="0.35"/>
    <row r="208" s="498" customFormat="1" ht="15.5" x14ac:dyDescent="0.35"/>
    <row r="209" s="498" customFormat="1" ht="15.5" x14ac:dyDescent="0.35"/>
    <row r="210" s="498" customFormat="1" ht="15.5" x14ac:dyDescent="0.35"/>
    <row r="211" s="498" customFormat="1" ht="15.5" x14ac:dyDescent="0.35"/>
    <row r="212" s="498" customFormat="1" ht="15.5" x14ac:dyDescent="0.35"/>
    <row r="213" s="498" customFormat="1" ht="15.5" x14ac:dyDescent="0.35"/>
    <row r="214" s="498" customFormat="1" ht="15.5" x14ac:dyDescent="0.35"/>
    <row r="215" s="498" customFormat="1" ht="15.5" x14ac:dyDescent="0.35"/>
    <row r="216" s="498" customFormat="1" ht="15.5" x14ac:dyDescent="0.35"/>
    <row r="217" s="498" customFormat="1" ht="15.5" x14ac:dyDescent="0.35"/>
    <row r="218" s="498" customFormat="1" ht="15.5" x14ac:dyDescent="0.35"/>
    <row r="219" s="498" customFormat="1" ht="15.5" x14ac:dyDescent="0.35"/>
    <row r="220" s="498" customFormat="1" ht="15.5" x14ac:dyDescent="0.35"/>
    <row r="221" s="498" customFormat="1" ht="15.5" x14ac:dyDescent="0.35"/>
    <row r="222" s="498" customFormat="1" ht="15.5" x14ac:dyDescent="0.35"/>
    <row r="223" s="498" customFormat="1" ht="15.5" x14ac:dyDescent="0.35"/>
    <row r="224" s="498" customFormat="1" ht="15.5" x14ac:dyDescent="0.35"/>
    <row r="225" s="498" customFormat="1" ht="15.5" x14ac:dyDescent="0.35"/>
    <row r="226" s="498" customFormat="1" ht="15.5" x14ac:dyDescent="0.35"/>
    <row r="227" s="498" customFormat="1" ht="15.5" x14ac:dyDescent="0.35"/>
    <row r="228" s="498" customFormat="1" ht="15.5" x14ac:dyDescent="0.35"/>
    <row r="229" s="498" customFormat="1" ht="15.5" x14ac:dyDescent="0.35"/>
    <row r="230" s="498" customFormat="1" ht="15.5" x14ac:dyDescent="0.35"/>
    <row r="231" s="498" customFormat="1" ht="15.5" x14ac:dyDescent="0.35"/>
    <row r="232" s="498" customFormat="1" ht="15.5" x14ac:dyDescent="0.35"/>
    <row r="233" s="498" customFormat="1" ht="15.5" x14ac:dyDescent="0.35"/>
    <row r="234" s="498" customFormat="1" ht="15.5" x14ac:dyDescent="0.35"/>
    <row r="235" s="498" customFormat="1" ht="15.5" x14ac:dyDescent="0.35"/>
    <row r="236" s="498" customFormat="1" ht="15.5" x14ac:dyDescent="0.35"/>
    <row r="237" s="498" customFormat="1" ht="15.5" x14ac:dyDescent="0.35"/>
    <row r="238" s="498" customFormat="1" ht="15.5" x14ac:dyDescent="0.35"/>
    <row r="239" s="498" customFormat="1" ht="15.5" x14ac:dyDescent="0.35"/>
    <row r="240" s="498" customFormat="1" ht="15.5" x14ac:dyDescent="0.35"/>
    <row r="241" spans="1:1" s="498" customFormat="1" ht="15.5" x14ac:dyDescent="0.35"/>
    <row r="242" spans="1:1" s="498" customFormat="1" ht="15.5" x14ac:dyDescent="0.35"/>
    <row r="243" spans="1:1" s="498" customFormat="1" ht="15.5" x14ac:dyDescent="0.35"/>
    <row r="244" spans="1:1" s="498" customFormat="1" ht="15.5" x14ac:dyDescent="0.35"/>
    <row r="245" spans="1:1" s="498" customFormat="1" ht="15.5" x14ac:dyDescent="0.35"/>
    <row r="246" spans="1:1" s="498" customFormat="1" ht="15.5" x14ac:dyDescent="0.35"/>
    <row r="247" spans="1:1" s="498" customFormat="1" ht="15.5" x14ac:dyDescent="0.35"/>
    <row r="248" spans="1:1" s="498" customFormat="1" ht="15.5" x14ac:dyDescent="0.35"/>
    <row r="249" spans="1:1" s="498" customFormat="1" ht="15.5" x14ac:dyDescent="0.35"/>
    <row r="250" spans="1:1" s="536" customFormat="1" x14ac:dyDescent="0.35">
      <c r="A250" s="553"/>
    </row>
    <row r="251" spans="1:1" s="536" customFormat="1" x14ac:dyDescent="0.35">
      <c r="A251" s="553"/>
    </row>
    <row r="252" spans="1:1" s="536" customFormat="1" x14ac:dyDescent="0.35">
      <c r="A252" s="553"/>
    </row>
    <row r="253" spans="1:1" s="536" customFormat="1" x14ac:dyDescent="0.35">
      <c r="A253" s="553"/>
    </row>
    <row r="254" spans="1:1" s="536" customFormat="1" x14ac:dyDescent="0.35">
      <c r="A254" s="553"/>
    </row>
    <row r="255" spans="1:1" s="536" customFormat="1" x14ac:dyDescent="0.35">
      <c r="A255" s="553"/>
    </row>
    <row r="256" spans="1:1" s="536" customFormat="1" x14ac:dyDescent="0.35">
      <c r="A256" s="553"/>
    </row>
    <row r="257" spans="1:1" s="536" customFormat="1" x14ac:dyDescent="0.35">
      <c r="A257" s="553"/>
    </row>
    <row r="258" spans="1:1" s="536" customFormat="1" x14ac:dyDescent="0.35">
      <c r="A258" s="553"/>
    </row>
    <row r="259" spans="1:1" s="536" customFormat="1" x14ac:dyDescent="0.35">
      <c r="A259" s="553"/>
    </row>
    <row r="260" spans="1:1" s="536" customFormat="1" x14ac:dyDescent="0.35">
      <c r="A260" s="553"/>
    </row>
    <row r="261" spans="1:1" s="536" customFormat="1" x14ac:dyDescent="0.35">
      <c r="A261" s="553"/>
    </row>
    <row r="262" spans="1:1" s="536" customFormat="1" x14ac:dyDescent="0.35">
      <c r="A262" s="553"/>
    </row>
    <row r="263" spans="1:1" s="536" customFormat="1" x14ac:dyDescent="0.35">
      <c r="A263" s="553"/>
    </row>
    <row r="264" spans="1:1" s="536" customFormat="1" x14ac:dyDescent="0.35">
      <c r="A264" s="553"/>
    </row>
    <row r="265" spans="1:1" s="536" customFormat="1" x14ac:dyDescent="0.35">
      <c r="A265" s="553"/>
    </row>
    <row r="266" spans="1:1" s="536" customFormat="1" x14ac:dyDescent="0.35">
      <c r="A266" s="553"/>
    </row>
    <row r="267" spans="1:1" s="536" customFormat="1" x14ac:dyDescent="0.35">
      <c r="A267" s="553"/>
    </row>
    <row r="268" spans="1:1" s="536" customFormat="1" x14ac:dyDescent="0.35">
      <c r="A268" s="553"/>
    </row>
    <row r="269" spans="1:1" s="536" customFormat="1" x14ac:dyDescent="0.35">
      <c r="A269" s="553"/>
    </row>
    <row r="270" spans="1:1" s="536" customFormat="1" x14ac:dyDescent="0.35">
      <c r="A270" s="553"/>
    </row>
    <row r="271" spans="1:1" s="536" customFormat="1" x14ac:dyDescent="0.35">
      <c r="A271" s="553"/>
    </row>
    <row r="272" spans="1:1" s="536" customFormat="1" x14ac:dyDescent="0.35">
      <c r="A272" s="553"/>
    </row>
    <row r="273" spans="1:1" s="536" customFormat="1" x14ac:dyDescent="0.35">
      <c r="A273" s="553"/>
    </row>
    <row r="274" spans="1:1" s="536" customFormat="1" x14ac:dyDescent="0.35">
      <c r="A274" s="553"/>
    </row>
    <row r="275" spans="1:1" s="536" customFormat="1" x14ac:dyDescent="0.35">
      <c r="A275" s="553"/>
    </row>
    <row r="276" spans="1:1" s="536" customFormat="1" x14ac:dyDescent="0.35">
      <c r="A276" s="553"/>
    </row>
    <row r="277" spans="1:1" s="536" customFormat="1" x14ac:dyDescent="0.35">
      <c r="A277" s="553"/>
    </row>
    <row r="278" spans="1:1" s="536" customFormat="1" x14ac:dyDescent="0.35">
      <c r="A278" s="553"/>
    </row>
    <row r="279" spans="1:1" s="536" customFormat="1" x14ac:dyDescent="0.35">
      <c r="A279" s="553"/>
    </row>
    <row r="280" spans="1:1" s="536" customFormat="1" x14ac:dyDescent="0.35">
      <c r="A280" s="553"/>
    </row>
    <row r="281" spans="1:1" s="536" customFormat="1" x14ac:dyDescent="0.35">
      <c r="A281" s="553"/>
    </row>
    <row r="282" spans="1:1" s="536" customFormat="1" x14ac:dyDescent="0.35">
      <c r="A282" s="553"/>
    </row>
    <row r="283" spans="1:1" s="536" customFormat="1" x14ac:dyDescent="0.35">
      <c r="A283" s="553"/>
    </row>
    <row r="284" spans="1:1" s="536" customFormat="1" x14ac:dyDescent="0.35">
      <c r="A284" s="553"/>
    </row>
    <row r="285" spans="1:1" s="536" customFormat="1" x14ac:dyDescent="0.35">
      <c r="A285" s="553"/>
    </row>
    <row r="286" spans="1:1" s="536" customFormat="1" x14ac:dyDescent="0.35">
      <c r="A286" s="553"/>
    </row>
    <row r="287" spans="1:1" s="536" customFormat="1" x14ac:dyDescent="0.35">
      <c r="A287" s="553"/>
    </row>
    <row r="288" spans="1:1" s="536" customFormat="1" x14ac:dyDescent="0.35">
      <c r="A288" s="553"/>
    </row>
    <row r="289" spans="1:1" s="536" customFormat="1" x14ac:dyDescent="0.35">
      <c r="A289" s="553"/>
    </row>
    <row r="290" spans="1:1" s="536" customFormat="1" x14ac:dyDescent="0.35">
      <c r="A290" s="553"/>
    </row>
    <row r="291" spans="1:1" s="536" customFormat="1" x14ac:dyDescent="0.35">
      <c r="A291" s="553"/>
    </row>
    <row r="292" spans="1:1" s="536" customFormat="1" x14ac:dyDescent="0.35">
      <c r="A292" s="553"/>
    </row>
    <row r="293" spans="1:1" s="536" customFormat="1" x14ac:dyDescent="0.35">
      <c r="A293" s="553"/>
    </row>
    <row r="294" spans="1:1" s="536" customFormat="1" x14ac:dyDescent="0.35">
      <c r="A294" s="553"/>
    </row>
    <row r="295" spans="1:1" s="536" customFormat="1" x14ac:dyDescent="0.35">
      <c r="A295" s="553"/>
    </row>
    <row r="296" spans="1:1" s="536" customFormat="1" x14ac:dyDescent="0.35">
      <c r="A296" s="553"/>
    </row>
    <row r="297" spans="1:1" s="536" customFormat="1" x14ac:dyDescent="0.35">
      <c r="A297" s="553"/>
    </row>
    <row r="298" spans="1:1" s="536" customFormat="1" x14ac:dyDescent="0.35">
      <c r="A298" s="553"/>
    </row>
    <row r="299" spans="1:1" s="536" customFormat="1" x14ac:dyDescent="0.35">
      <c r="A299" s="553"/>
    </row>
    <row r="300" spans="1:1" s="536" customFormat="1" x14ac:dyDescent="0.35">
      <c r="A300" s="553"/>
    </row>
    <row r="301" spans="1:1" s="536" customFormat="1" x14ac:dyDescent="0.35">
      <c r="A301" s="553"/>
    </row>
    <row r="302" spans="1:1" s="536" customFormat="1" x14ac:dyDescent="0.35">
      <c r="A302" s="553"/>
    </row>
    <row r="303" spans="1:1" s="536" customFormat="1" x14ac:dyDescent="0.35">
      <c r="A303" s="553"/>
    </row>
    <row r="304" spans="1:1" s="536" customFormat="1" x14ac:dyDescent="0.35">
      <c r="A304" s="553"/>
    </row>
    <row r="305" spans="1:1" s="536" customFormat="1" x14ac:dyDescent="0.35">
      <c r="A305" s="553"/>
    </row>
    <row r="306" spans="1:1" s="536" customFormat="1" x14ac:dyDescent="0.35">
      <c r="A306" s="553"/>
    </row>
    <row r="307" spans="1:1" s="536" customFormat="1" x14ac:dyDescent="0.35">
      <c r="A307" s="553"/>
    </row>
    <row r="308" spans="1:1" s="536" customFormat="1" x14ac:dyDescent="0.35">
      <c r="A308" s="553"/>
    </row>
    <row r="309" spans="1:1" s="536" customFormat="1" x14ac:dyDescent="0.35">
      <c r="A309" s="553"/>
    </row>
    <row r="310" spans="1:1" s="536" customFormat="1" x14ac:dyDescent="0.35">
      <c r="A310" s="553"/>
    </row>
    <row r="311" spans="1:1" s="536" customFormat="1" x14ac:dyDescent="0.35">
      <c r="A311" s="553"/>
    </row>
    <row r="312" spans="1:1" s="536" customFormat="1" x14ac:dyDescent="0.35">
      <c r="A312" s="553"/>
    </row>
    <row r="313" spans="1:1" s="536" customFormat="1" x14ac:dyDescent="0.35">
      <c r="A313" s="553"/>
    </row>
    <row r="314" spans="1:1" s="536" customFormat="1" x14ac:dyDescent="0.35">
      <c r="A314" s="553"/>
    </row>
    <row r="315" spans="1:1" s="536" customFormat="1" x14ac:dyDescent="0.35">
      <c r="A315" s="553"/>
    </row>
    <row r="316" spans="1:1" s="536" customFormat="1" x14ac:dyDescent="0.35">
      <c r="A316" s="553"/>
    </row>
    <row r="317" spans="1:1" s="536" customFormat="1" x14ac:dyDescent="0.35">
      <c r="A317" s="553"/>
    </row>
    <row r="318" spans="1:1" s="536" customFormat="1" x14ac:dyDescent="0.35">
      <c r="A318" s="553"/>
    </row>
    <row r="319" spans="1:1" s="536" customFormat="1" x14ac:dyDescent="0.35">
      <c r="A319" s="553"/>
    </row>
    <row r="320" spans="1:1" s="536" customFormat="1" x14ac:dyDescent="0.35">
      <c r="A320" s="553"/>
    </row>
    <row r="321" spans="1:1" s="536" customFormat="1" x14ac:dyDescent="0.35">
      <c r="A321" s="553"/>
    </row>
    <row r="322" spans="1:1" s="536" customFormat="1" x14ac:dyDescent="0.35">
      <c r="A322" s="553"/>
    </row>
    <row r="323" spans="1:1" s="536" customFormat="1" x14ac:dyDescent="0.35">
      <c r="A323" s="553"/>
    </row>
    <row r="324" spans="1:1" s="536" customFormat="1" x14ac:dyDescent="0.35">
      <c r="A324" s="553"/>
    </row>
    <row r="325" spans="1:1" s="536" customFormat="1" x14ac:dyDescent="0.35">
      <c r="A325" s="553"/>
    </row>
    <row r="326" spans="1:1" s="536" customFormat="1" x14ac:dyDescent="0.35">
      <c r="A326" s="553"/>
    </row>
    <row r="327" spans="1:1" s="536" customFormat="1" x14ac:dyDescent="0.35">
      <c r="A327" s="553"/>
    </row>
    <row r="328" spans="1:1" s="536" customFormat="1" x14ac:dyDescent="0.35">
      <c r="A328" s="553"/>
    </row>
    <row r="329" spans="1:1" s="536" customFormat="1" x14ac:dyDescent="0.35">
      <c r="A329" s="553"/>
    </row>
    <row r="330" spans="1:1" s="536" customFormat="1" x14ac:dyDescent="0.35">
      <c r="A330" s="553"/>
    </row>
    <row r="331" spans="1:1" s="536" customFormat="1" x14ac:dyDescent="0.35">
      <c r="A331" s="553"/>
    </row>
    <row r="332" spans="1:1" s="536" customFormat="1" x14ac:dyDescent="0.35">
      <c r="A332" s="553"/>
    </row>
    <row r="333" spans="1:1" s="536" customFormat="1" x14ac:dyDescent="0.35">
      <c r="A333" s="553"/>
    </row>
    <row r="334" spans="1:1" s="536" customFormat="1" x14ac:dyDescent="0.35">
      <c r="A334" s="553"/>
    </row>
    <row r="335" spans="1:1" s="536" customFormat="1" x14ac:dyDescent="0.35">
      <c r="A335" s="553"/>
    </row>
    <row r="336" spans="1:1" s="536" customFormat="1" x14ac:dyDescent="0.35">
      <c r="A336" s="553"/>
    </row>
    <row r="337" spans="1:1" s="536" customFormat="1" x14ac:dyDescent="0.35">
      <c r="A337" s="553"/>
    </row>
    <row r="338" spans="1:1" s="536" customFormat="1" x14ac:dyDescent="0.35">
      <c r="A338" s="553"/>
    </row>
    <row r="339" spans="1:1" s="536" customFormat="1" x14ac:dyDescent="0.35">
      <c r="A339" s="553"/>
    </row>
    <row r="340" spans="1:1" s="536" customFormat="1" x14ac:dyDescent="0.35">
      <c r="A340" s="553"/>
    </row>
    <row r="341" spans="1:1" s="536" customFormat="1" x14ac:dyDescent="0.35">
      <c r="A341" s="553"/>
    </row>
    <row r="342" spans="1:1" s="536" customFormat="1" x14ac:dyDescent="0.35">
      <c r="A342" s="553"/>
    </row>
    <row r="343" spans="1:1" s="536" customFormat="1" x14ac:dyDescent="0.35">
      <c r="A343" s="553"/>
    </row>
    <row r="344" spans="1:1" s="536" customFormat="1" x14ac:dyDescent="0.35">
      <c r="A344" s="553"/>
    </row>
    <row r="345" spans="1:1" s="536" customFormat="1" x14ac:dyDescent="0.35">
      <c r="A345" s="553"/>
    </row>
    <row r="346" spans="1:1" s="536" customFormat="1" x14ac:dyDescent="0.35">
      <c r="A346" s="553"/>
    </row>
    <row r="347" spans="1:1" s="536" customFormat="1" x14ac:dyDescent="0.35">
      <c r="A347" s="553"/>
    </row>
    <row r="348" spans="1:1" s="536" customFormat="1" x14ac:dyDescent="0.35">
      <c r="A348" s="553"/>
    </row>
    <row r="349" spans="1:1" s="536" customFormat="1" x14ac:dyDescent="0.35">
      <c r="A349" s="553"/>
    </row>
    <row r="350" spans="1:1" s="536" customFormat="1" x14ac:dyDescent="0.35">
      <c r="A350" s="553"/>
    </row>
    <row r="351" spans="1:1" s="536" customFormat="1" x14ac:dyDescent="0.35">
      <c r="A351" s="553"/>
    </row>
    <row r="352" spans="1:1" s="536" customFormat="1" x14ac:dyDescent="0.35">
      <c r="A352" s="553"/>
    </row>
    <row r="353" spans="1:1" s="536" customFormat="1" x14ac:dyDescent="0.35">
      <c r="A353" s="553"/>
    </row>
    <row r="354" spans="1:1" s="536" customFormat="1" x14ac:dyDescent="0.35">
      <c r="A354" s="553"/>
    </row>
    <row r="355" spans="1:1" s="536" customFormat="1" x14ac:dyDescent="0.35">
      <c r="A355" s="553"/>
    </row>
    <row r="356" spans="1:1" s="536" customFormat="1" x14ac:dyDescent="0.35">
      <c r="A356" s="553"/>
    </row>
    <row r="357" spans="1:1" s="536" customFormat="1" x14ac:dyDescent="0.35">
      <c r="A357" s="553"/>
    </row>
    <row r="358" spans="1:1" s="536" customFormat="1" x14ac:dyDescent="0.35">
      <c r="A358" s="553"/>
    </row>
    <row r="359" spans="1:1" s="536" customFormat="1" x14ac:dyDescent="0.35">
      <c r="A359" s="553"/>
    </row>
    <row r="360" spans="1:1" s="536" customFormat="1" x14ac:dyDescent="0.35">
      <c r="A360" s="553"/>
    </row>
    <row r="361" spans="1:1" s="536" customFormat="1" x14ac:dyDescent="0.35">
      <c r="A361" s="553"/>
    </row>
    <row r="362" spans="1:1" s="536" customFormat="1" x14ac:dyDescent="0.35">
      <c r="A362" s="553"/>
    </row>
    <row r="363" spans="1:1" s="536" customFormat="1" x14ac:dyDescent="0.35">
      <c r="A363" s="553"/>
    </row>
    <row r="364" spans="1:1" s="536" customFormat="1" x14ac:dyDescent="0.35">
      <c r="A364" s="553"/>
    </row>
    <row r="365" spans="1:1" s="536" customFormat="1" x14ac:dyDescent="0.35">
      <c r="A365" s="553"/>
    </row>
    <row r="366" spans="1:1" s="536" customFormat="1" x14ac:dyDescent="0.35">
      <c r="A366" s="553"/>
    </row>
    <row r="367" spans="1:1" s="536" customFormat="1" x14ac:dyDescent="0.35">
      <c r="A367" s="553"/>
    </row>
    <row r="368" spans="1:1" s="536" customFormat="1" x14ac:dyDescent="0.35">
      <c r="A368" s="553"/>
    </row>
    <row r="369" spans="1:1" s="536" customFormat="1" x14ac:dyDescent="0.35">
      <c r="A369" s="553"/>
    </row>
    <row r="370" spans="1:1" s="536" customFormat="1" x14ac:dyDescent="0.35">
      <c r="A370" s="553"/>
    </row>
    <row r="371" spans="1:1" s="536" customFormat="1" x14ac:dyDescent="0.35">
      <c r="A371" s="553"/>
    </row>
    <row r="372" spans="1:1" s="536" customFormat="1" x14ac:dyDescent="0.35">
      <c r="A372" s="553"/>
    </row>
    <row r="373" spans="1:1" s="536" customFormat="1" x14ac:dyDescent="0.35">
      <c r="A373" s="553"/>
    </row>
    <row r="374" spans="1:1" s="536" customFormat="1" x14ac:dyDescent="0.35">
      <c r="A374" s="553"/>
    </row>
    <row r="375" spans="1:1" s="536" customFormat="1" x14ac:dyDescent="0.35">
      <c r="A375" s="553"/>
    </row>
    <row r="376" spans="1:1" s="536" customFormat="1" x14ac:dyDescent="0.35">
      <c r="A376" s="553"/>
    </row>
    <row r="377" spans="1:1" s="536" customFormat="1" x14ac:dyDescent="0.35">
      <c r="A377" s="553"/>
    </row>
    <row r="378" spans="1:1" s="536" customFormat="1" x14ac:dyDescent="0.35">
      <c r="A378" s="553"/>
    </row>
    <row r="379" spans="1:1" s="536" customFormat="1" x14ac:dyDescent="0.35">
      <c r="A379" s="553"/>
    </row>
    <row r="380" spans="1:1" s="536" customFormat="1" x14ac:dyDescent="0.35">
      <c r="A380" s="553"/>
    </row>
    <row r="381" spans="1:1" s="536" customFormat="1" x14ac:dyDescent="0.35">
      <c r="A381" s="553"/>
    </row>
    <row r="382" spans="1:1" s="536" customFormat="1" x14ac:dyDescent="0.35">
      <c r="A382" s="553"/>
    </row>
    <row r="383" spans="1:1" s="536" customFormat="1" x14ac:dyDescent="0.35">
      <c r="A383" s="553"/>
    </row>
    <row r="384" spans="1:1" s="536" customFormat="1" x14ac:dyDescent="0.35">
      <c r="A384" s="553"/>
    </row>
    <row r="385" spans="1:1" s="536" customFormat="1" x14ac:dyDescent="0.35">
      <c r="A385" s="553"/>
    </row>
    <row r="386" spans="1:1" s="536" customFormat="1" x14ac:dyDescent="0.35">
      <c r="A386" s="553"/>
    </row>
    <row r="387" spans="1:1" s="536" customFormat="1" x14ac:dyDescent="0.35">
      <c r="A387" s="553"/>
    </row>
    <row r="388" spans="1:1" s="536" customFormat="1" x14ac:dyDescent="0.35">
      <c r="A388" s="553"/>
    </row>
    <row r="389" spans="1:1" s="536" customFormat="1" x14ac:dyDescent="0.35">
      <c r="A389" s="553"/>
    </row>
    <row r="390" spans="1:1" s="536" customFormat="1" x14ac:dyDescent="0.35">
      <c r="A390" s="553"/>
    </row>
    <row r="391" spans="1:1" s="536" customFormat="1" x14ac:dyDescent="0.35">
      <c r="A391" s="553"/>
    </row>
    <row r="392" spans="1:1" s="536" customFormat="1" x14ac:dyDescent="0.35">
      <c r="A392" s="553"/>
    </row>
    <row r="393" spans="1:1" s="536" customFormat="1" x14ac:dyDescent="0.35">
      <c r="A393" s="553"/>
    </row>
    <row r="394" spans="1:1" s="536" customFormat="1" x14ac:dyDescent="0.35">
      <c r="A394" s="553"/>
    </row>
    <row r="395" spans="1:1" s="536" customFormat="1" x14ac:dyDescent="0.35">
      <c r="A395" s="553"/>
    </row>
    <row r="396" spans="1:1" s="536" customFormat="1" x14ac:dyDescent="0.35">
      <c r="A396" s="553"/>
    </row>
    <row r="397" spans="1:1" s="536" customFormat="1" x14ac:dyDescent="0.35">
      <c r="A397" s="553"/>
    </row>
    <row r="398" spans="1:1" s="536" customFormat="1" x14ac:dyDescent="0.35">
      <c r="A398" s="553"/>
    </row>
    <row r="399" spans="1:1" s="536" customFormat="1" x14ac:dyDescent="0.35">
      <c r="A399" s="553"/>
    </row>
  </sheetData>
  <sheetProtection selectLockedCells="1"/>
  <mergeCells count="32">
    <mergeCell ref="A9:A10"/>
    <mergeCell ref="B9:B10"/>
    <mergeCell ref="C9:C10"/>
    <mergeCell ref="D9:D10"/>
    <mergeCell ref="M9:M10"/>
    <mergeCell ref="A11:A12"/>
    <mergeCell ref="B11:B12"/>
    <mergeCell ref="C11:C12"/>
    <mergeCell ref="D11:D12"/>
    <mergeCell ref="M11:M12"/>
    <mergeCell ref="A5:A6"/>
    <mergeCell ref="B5:B6"/>
    <mergeCell ref="C5:C6"/>
    <mergeCell ref="D5:D6"/>
    <mergeCell ref="M5:M6"/>
    <mergeCell ref="A7:A8"/>
    <mergeCell ref="B7:B8"/>
    <mergeCell ref="C7:C8"/>
    <mergeCell ref="D7:D8"/>
    <mergeCell ref="M7:M8"/>
    <mergeCell ref="M1:M2"/>
    <mergeCell ref="A3:A4"/>
    <mergeCell ref="B3:B4"/>
    <mergeCell ref="C3:C4"/>
    <mergeCell ref="D3:D4"/>
    <mergeCell ref="M3:M4"/>
    <mergeCell ref="A1:A2"/>
    <mergeCell ref="B1:B2"/>
    <mergeCell ref="C1:C2"/>
    <mergeCell ref="D1:D2"/>
    <mergeCell ref="E1:I1"/>
    <mergeCell ref="J1:L1"/>
  </mergeCells>
  <dataValidations count="1">
    <dataValidation type="whole" allowBlank="1" showInputMessage="1" showErrorMessage="1" sqref="J9:L9" xr:uid="{8D48D830-1F22-4A39-AB58-CFD77C8D9405}">
      <formula1>0</formula1>
      <formula2>5</formula2>
    </dataValidation>
  </dataValidations>
  <pageMargins left="0.59055118110236227" right="0.59055118110236227" top="0.94488188976377963" bottom="0.86614173228346458" header="0.31496062992125984" footer="0.31496062992125984"/>
  <pageSetup scale="45" fitToWidth="0" fitToHeight="0" orientation="landscape" horizontalDpi="4294967293" r:id="rId1"/>
  <headerFooter>
    <oddHeader>&amp;L&amp;"Palatino Linotype,Negrita"&amp;18
Componente 5: Gestión de la calidad&amp;C&amp;"Palatino Linotype,Negrita"&amp;24Programa Fábricas de Productividad
&amp;20Guía para la autoevaluación general de la Empresa&amp;R&amp;G</oddHeader>
    <oddFooter>&amp;L&amp;"Palatino Linotype,Normal"&amp;G
&amp;"Palatino Linotype,Cursiva"© Colombia Productiva&amp;C&amp;"Palatino Linotype,Negrita"&amp;18&amp;G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DDE5E-C1A2-42AE-8B0C-8B0602B3221C}">
  <sheetPr>
    <tabColor theme="4" tint="-0.249977111117893"/>
  </sheetPr>
  <dimension ref="A1:M451"/>
  <sheetViews>
    <sheetView showGridLines="0" zoomScale="50" zoomScaleNormal="50" zoomScaleSheetLayoutView="55" zoomScalePageLayoutView="85" workbookViewId="0">
      <selection activeCell="J2" sqref="J2:L2"/>
    </sheetView>
  </sheetViews>
  <sheetFormatPr baseColWidth="10" defaultColWidth="0.453125" defaultRowHeight="17" x14ac:dyDescent="0.45"/>
  <cols>
    <col min="1" max="1" width="4.7265625" style="571" customWidth="1"/>
    <col min="2" max="2" width="27.1796875" style="296" customWidth="1"/>
    <col min="3" max="3" width="31" style="296" customWidth="1"/>
    <col min="4" max="4" width="28.1796875" style="296" customWidth="1"/>
    <col min="5" max="9" width="21.26953125" style="296" customWidth="1"/>
    <col min="10" max="12" width="10" style="296" customWidth="1"/>
    <col min="13" max="13" width="50.26953125" style="296" customWidth="1"/>
    <col min="14" max="16384" width="0.453125" style="296"/>
  </cols>
  <sheetData>
    <row r="1" spans="1:13" ht="39.65" customHeight="1" x14ac:dyDescent="0.45">
      <c r="A1" s="940" t="s">
        <v>20</v>
      </c>
      <c r="B1" s="941" t="s">
        <v>21</v>
      </c>
      <c r="C1" s="942" t="s">
        <v>22</v>
      </c>
      <c r="D1" s="941" t="s">
        <v>23</v>
      </c>
      <c r="E1" s="942" t="s">
        <v>24</v>
      </c>
      <c r="F1" s="942"/>
      <c r="G1" s="942"/>
      <c r="H1" s="942"/>
      <c r="I1" s="942"/>
      <c r="J1" s="915" t="s">
        <v>25</v>
      </c>
      <c r="K1" s="915"/>
      <c r="L1" s="915"/>
      <c r="M1" s="907" t="str">
        <f>+'2'!M1:M2</f>
        <v>Observaciones generales  y/o afectaciones derivadas de la emergencia sanitaria COVID-19</v>
      </c>
    </row>
    <row r="2" spans="1:13" ht="39.65" customHeight="1" x14ac:dyDescent="0.45">
      <c r="A2" s="940"/>
      <c r="B2" s="941"/>
      <c r="C2" s="942"/>
      <c r="D2" s="941"/>
      <c r="E2" s="503">
        <v>1</v>
      </c>
      <c r="F2" s="504">
        <v>2</v>
      </c>
      <c r="G2" s="505">
        <v>3</v>
      </c>
      <c r="H2" s="506">
        <v>4</v>
      </c>
      <c r="I2" s="507">
        <v>5</v>
      </c>
      <c r="J2" s="772">
        <v>2022</v>
      </c>
      <c r="K2" s="772">
        <v>2023</v>
      </c>
      <c r="L2" s="772">
        <v>2024</v>
      </c>
      <c r="M2" s="907"/>
    </row>
    <row r="3" spans="1:13" x14ac:dyDescent="0.45">
      <c r="A3" s="949">
        <v>1</v>
      </c>
      <c r="B3" s="937" t="s">
        <v>431</v>
      </c>
      <c r="C3" s="977" t="s">
        <v>432</v>
      </c>
      <c r="D3" s="979" t="s">
        <v>433</v>
      </c>
      <c r="E3" s="572"/>
      <c r="F3" s="572"/>
      <c r="G3" s="572" t="s">
        <v>149</v>
      </c>
      <c r="H3" s="572"/>
      <c r="I3" s="572"/>
      <c r="J3" s="573">
        <v>5</v>
      </c>
      <c r="K3" s="573">
        <v>5</v>
      </c>
      <c r="L3" s="573">
        <v>5</v>
      </c>
      <c r="M3" s="981"/>
    </row>
    <row r="4" spans="1:13" ht="66" customHeight="1" x14ac:dyDescent="0.45">
      <c r="A4" s="976"/>
      <c r="B4" s="938"/>
      <c r="C4" s="978"/>
      <c r="D4" s="980"/>
      <c r="E4" s="783" t="s">
        <v>434</v>
      </c>
      <c r="F4" s="574" t="s">
        <v>435</v>
      </c>
      <c r="G4" s="783" t="s">
        <v>436</v>
      </c>
      <c r="H4" s="783" t="s">
        <v>437</v>
      </c>
      <c r="I4" s="783" t="s">
        <v>438</v>
      </c>
      <c r="J4" s="575"/>
      <c r="K4" s="575"/>
      <c r="L4" s="575"/>
      <c r="M4" s="982"/>
    </row>
    <row r="5" spans="1:13" ht="18" customHeight="1" x14ac:dyDescent="0.45">
      <c r="A5" s="946">
        <v>2</v>
      </c>
      <c r="B5" s="909" t="s">
        <v>439</v>
      </c>
      <c r="C5" s="977" t="s">
        <v>440</v>
      </c>
      <c r="D5" s="983" t="s">
        <v>441</v>
      </c>
      <c r="E5" s="576"/>
      <c r="F5" s="576"/>
      <c r="G5" s="576"/>
      <c r="H5" s="576"/>
      <c r="I5" s="576"/>
      <c r="J5" s="573">
        <v>4</v>
      </c>
      <c r="K5" s="573">
        <v>4</v>
      </c>
      <c r="L5" s="573">
        <v>4</v>
      </c>
      <c r="M5" s="577"/>
    </row>
    <row r="6" spans="1:13" ht="96" customHeight="1" x14ac:dyDescent="0.45">
      <c r="A6" s="946"/>
      <c r="B6" s="909"/>
      <c r="C6" s="978"/>
      <c r="D6" s="983"/>
      <c r="E6" s="578" t="s">
        <v>214</v>
      </c>
      <c r="F6" s="781" t="s">
        <v>442</v>
      </c>
      <c r="G6" s="781" t="s">
        <v>443</v>
      </c>
      <c r="H6" s="781" t="s">
        <v>444</v>
      </c>
      <c r="I6" s="781" t="s">
        <v>445</v>
      </c>
      <c r="J6" s="575"/>
      <c r="K6" s="575"/>
      <c r="L6" s="575"/>
      <c r="M6" s="577"/>
    </row>
    <row r="7" spans="1:13" ht="17.649999999999999" customHeight="1" x14ac:dyDescent="0.45">
      <c r="A7" s="976">
        <v>3</v>
      </c>
      <c r="B7" s="938" t="s">
        <v>446</v>
      </c>
      <c r="C7" s="977" t="s">
        <v>447</v>
      </c>
      <c r="D7" s="984" t="s">
        <v>448</v>
      </c>
      <c r="E7" s="579" t="s">
        <v>46</v>
      </c>
      <c r="F7" s="579"/>
      <c r="G7" s="579"/>
      <c r="H7" s="579"/>
      <c r="I7" s="579"/>
      <c r="J7" s="573">
        <v>3</v>
      </c>
      <c r="K7" s="573">
        <v>3</v>
      </c>
      <c r="L7" s="573">
        <v>3</v>
      </c>
      <c r="M7" s="981"/>
    </row>
    <row r="8" spans="1:13" ht="84" customHeight="1" x14ac:dyDescent="0.45">
      <c r="A8" s="950"/>
      <c r="B8" s="939"/>
      <c r="C8" s="978"/>
      <c r="D8" s="984"/>
      <c r="E8" s="780" t="s">
        <v>449</v>
      </c>
      <c r="F8" s="780" t="s">
        <v>450</v>
      </c>
      <c r="G8" s="781" t="s">
        <v>451</v>
      </c>
      <c r="H8" s="781" t="s">
        <v>452</v>
      </c>
      <c r="I8" s="580" t="s">
        <v>453</v>
      </c>
      <c r="J8" s="511"/>
      <c r="K8" s="511"/>
      <c r="L8" s="511"/>
      <c r="M8" s="982"/>
    </row>
    <row r="9" spans="1:13" ht="17.649999999999999" customHeight="1" x14ac:dyDescent="0.45">
      <c r="A9" s="946">
        <v>4</v>
      </c>
      <c r="B9" s="909" t="s">
        <v>454</v>
      </c>
      <c r="C9" s="977" t="s">
        <v>455</v>
      </c>
      <c r="D9" s="984" t="s">
        <v>456</v>
      </c>
      <c r="E9" s="576"/>
      <c r="F9" s="576"/>
      <c r="G9" s="576"/>
      <c r="H9" s="576"/>
      <c r="I9" s="576"/>
      <c r="J9" s="573"/>
      <c r="K9" s="573"/>
      <c r="L9" s="573"/>
      <c r="M9" s="985"/>
    </row>
    <row r="10" spans="1:13" ht="155" x14ac:dyDescent="0.45">
      <c r="A10" s="946"/>
      <c r="B10" s="909"/>
      <c r="C10" s="978"/>
      <c r="D10" s="984"/>
      <c r="E10" s="781" t="s">
        <v>457</v>
      </c>
      <c r="F10" s="781" t="s">
        <v>458</v>
      </c>
      <c r="G10" s="781" t="s">
        <v>459</v>
      </c>
      <c r="H10" s="781" t="s">
        <v>460</v>
      </c>
      <c r="I10" s="781" t="s">
        <v>461</v>
      </c>
      <c r="J10" s="511"/>
      <c r="K10" s="511"/>
      <c r="L10" s="511"/>
      <c r="M10" s="985"/>
    </row>
    <row r="11" spans="1:13" ht="17.649999999999999" customHeight="1" x14ac:dyDescent="0.45">
      <c r="A11" s="946">
        <v>5</v>
      </c>
      <c r="B11" s="909" t="s">
        <v>462</v>
      </c>
      <c r="C11" s="977" t="s">
        <v>463</v>
      </c>
      <c r="D11" s="986"/>
      <c r="E11" s="581"/>
      <c r="F11" s="581"/>
      <c r="G11" s="581"/>
      <c r="H11" s="581"/>
      <c r="I11" s="581"/>
      <c r="J11" s="573"/>
      <c r="K11" s="573"/>
      <c r="L11" s="573"/>
      <c r="M11" s="985"/>
    </row>
    <row r="12" spans="1:13" ht="139.5" x14ac:dyDescent="0.45">
      <c r="A12" s="946"/>
      <c r="B12" s="909"/>
      <c r="C12" s="978"/>
      <c r="D12" s="986"/>
      <c r="E12" s="784" t="s">
        <v>464</v>
      </c>
      <c r="F12" s="784" t="s">
        <v>465</v>
      </c>
      <c r="G12" s="784" t="s">
        <v>466</v>
      </c>
      <c r="H12" s="784" t="s">
        <v>467</v>
      </c>
      <c r="I12" s="784" t="s">
        <v>468</v>
      </c>
      <c r="J12" s="511"/>
      <c r="K12" s="511"/>
      <c r="L12" s="511"/>
      <c r="M12" s="985"/>
    </row>
    <row r="13" spans="1:13" s="582" customFormat="1" ht="17.649999999999999" customHeight="1" x14ac:dyDescent="0.6">
      <c r="A13" s="946">
        <v>6</v>
      </c>
      <c r="B13" s="909" t="s">
        <v>469</v>
      </c>
      <c r="C13" s="977" t="s">
        <v>470</v>
      </c>
      <c r="D13" s="986"/>
      <c r="E13" s="581"/>
      <c r="F13" s="581"/>
      <c r="G13" s="581"/>
      <c r="H13" s="581"/>
      <c r="I13" s="581"/>
      <c r="J13" s="573"/>
      <c r="K13" s="573"/>
      <c r="L13" s="573"/>
      <c r="M13" s="987"/>
    </row>
    <row r="14" spans="1:13" s="582" customFormat="1" ht="168.75" customHeight="1" x14ac:dyDescent="0.6">
      <c r="A14" s="946"/>
      <c r="B14" s="909"/>
      <c r="C14" s="978"/>
      <c r="D14" s="986"/>
      <c r="E14" s="784" t="s">
        <v>471</v>
      </c>
      <c r="F14" s="780" t="s">
        <v>472</v>
      </c>
      <c r="G14" s="784" t="s">
        <v>473</v>
      </c>
      <c r="H14" s="784" t="s">
        <v>474</v>
      </c>
      <c r="I14" s="784" t="s">
        <v>475</v>
      </c>
      <c r="J14" s="511"/>
      <c r="K14" s="511"/>
      <c r="L14" s="511"/>
      <c r="M14" s="987"/>
    </row>
    <row r="15" spans="1:13" s="582" customFormat="1" ht="17.649999999999999" customHeight="1" x14ac:dyDescent="0.6">
      <c r="A15" s="946">
        <v>7</v>
      </c>
      <c r="B15" s="956" t="s">
        <v>476</v>
      </c>
      <c r="C15" s="988" t="s">
        <v>477</v>
      </c>
      <c r="D15" s="988" t="s">
        <v>478</v>
      </c>
      <c r="E15" s="583"/>
      <c r="F15" s="583"/>
      <c r="G15" s="583"/>
      <c r="H15" s="583"/>
      <c r="I15" s="583"/>
      <c r="J15" s="573"/>
      <c r="K15" s="573"/>
      <c r="L15" s="573"/>
      <c r="M15" s="987"/>
    </row>
    <row r="16" spans="1:13" s="582" customFormat="1" ht="248" x14ac:dyDescent="0.6">
      <c r="A16" s="946"/>
      <c r="B16" s="956"/>
      <c r="C16" s="988"/>
      <c r="D16" s="988"/>
      <c r="E16" s="584" t="s">
        <v>479</v>
      </c>
      <c r="F16" s="585" t="s">
        <v>480</v>
      </c>
      <c r="G16" s="585" t="s">
        <v>481</v>
      </c>
      <c r="H16" s="584" t="s">
        <v>482</v>
      </c>
      <c r="I16" s="586" t="s">
        <v>483</v>
      </c>
      <c r="J16" s="511"/>
      <c r="K16" s="511"/>
      <c r="L16" s="511"/>
      <c r="M16" s="987"/>
    </row>
    <row r="17" spans="1:13" s="582" customFormat="1" ht="17.649999999999999" customHeight="1" x14ac:dyDescent="0.6">
      <c r="A17" s="946">
        <v>8</v>
      </c>
      <c r="B17" s="909" t="s">
        <v>484</v>
      </c>
      <c r="C17" s="988" t="s">
        <v>485</v>
      </c>
      <c r="D17" s="988" t="s">
        <v>486</v>
      </c>
      <c r="E17" s="581"/>
      <c r="F17" s="581"/>
      <c r="G17" s="581"/>
      <c r="H17" s="581"/>
      <c r="I17" s="581"/>
      <c r="J17" s="573"/>
      <c r="K17" s="573"/>
      <c r="L17" s="573"/>
      <c r="M17" s="987"/>
    </row>
    <row r="18" spans="1:13" s="582" customFormat="1" ht="149.5" customHeight="1" x14ac:dyDescent="0.6">
      <c r="A18" s="946"/>
      <c r="B18" s="909"/>
      <c r="C18" s="988"/>
      <c r="D18" s="988"/>
      <c r="E18" s="784" t="s">
        <v>487</v>
      </c>
      <c r="F18" s="784" t="s">
        <v>488</v>
      </c>
      <c r="G18" s="784" t="s">
        <v>489</v>
      </c>
      <c r="H18" s="784" t="s">
        <v>490</v>
      </c>
      <c r="I18" s="784" t="s">
        <v>491</v>
      </c>
      <c r="J18" s="511"/>
      <c r="K18" s="511"/>
      <c r="L18" s="511"/>
      <c r="M18" s="987"/>
    </row>
    <row r="19" spans="1:13" s="582" customFormat="1" ht="17.649999999999999" customHeight="1" x14ac:dyDescent="0.6">
      <c r="A19" s="946">
        <v>9</v>
      </c>
      <c r="B19" s="909" t="s">
        <v>492</v>
      </c>
      <c r="C19" s="984" t="s">
        <v>493</v>
      </c>
      <c r="D19" s="984" t="s">
        <v>494</v>
      </c>
      <c r="E19" s="579"/>
      <c r="F19" s="579"/>
      <c r="G19" s="579"/>
      <c r="H19" s="579"/>
      <c r="I19" s="579" t="s">
        <v>46</v>
      </c>
      <c r="J19" s="573"/>
      <c r="K19" s="573"/>
      <c r="L19" s="573"/>
      <c r="M19" s="987"/>
    </row>
    <row r="20" spans="1:13" s="582" customFormat="1" ht="46.5" x14ac:dyDescent="0.6">
      <c r="A20" s="946"/>
      <c r="B20" s="909"/>
      <c r="C20" s="984"/>
      <c r="D20" s="984"/>
      <c r="E20" s="780" t="s">
        <v>495</v>
      </c>
      <c r="F20" s="780" t="s">
        <v>496</v>
      </c>
      <c r="G20" s="781" t="s">
        <v>497</v>
      </c>
      <c r="H20" s="781" t="s">
        <v>498</v>
      </c>
      <c r="I20" s="580" t="s">
        <v>499</v>
      </c>
      <c r="J20" s="511"/>
      <c r="K20" s="511"/>
      <c r="L20" s="511"/>
      <c r="M20" s="987"/>
    </row>
    <row r="21" spans="1:13" s="588" customFormat="1" ht="17.649999999999999" customHeight="1" x14ac:dyDescent="0.35">
      <c r="A21" s="926">
        <v>10</v>
      </c>
      <c r="B21" s="909" t="s">
        <v>500</v>
      </c>
      <c r="C21" s="984" t="s">
        <v>501</v>
      </c>
      <c r="D21" s="984" t="s">
        <v>502</v>
      </c>
      <c r="E21" s="579" t="s">
        <v>46</v>
      </c>
      <c r="F21" s="579"/>
      <c r="G21" s="579"/>
      <c r="H21" s="579"/>
      <c r="I21" s="579"/>
      <c r="J21" s="587"/>
      <c r="K21" s="587"/>
      <c r="L21" s="587"/>
      <c r="M21" s="989"/>
    </row>
    <row r="22" spans="1:13" s="588" customFormat="1" ht="155" x14ac:dyDescent="0.35">
      <c r="A22" s="926"/>
      <c r="B22" s="909"/>
      <c r="C22" s="984"/>
      <c r="D22" s="984"/>
      <c r="E22" s="589" t="s">
        <v>503</v>
      </c>
      <c r="F22" s="589" t="s">
        <v>504</v>
      </c>
      <c r="G22" s="589" t="s">
        <v>505</v>
      </c>
      <c r="H22" s="589" t="s">
        <v>506</v>
      </c>
      <c r="I22" s="589" t="s">
        <v>507</v>
      </c>
      <c r="J22" s="511"/>
      <c r="K22" s="511"/>
      <c r="L22" s="511"/>
      <c r="M22" s="989"/>
    </row>
    <row r="23" spans="1:13" s="592" customFormat="1" ht="17.649999999999999" customHeight="1" x14ac:dyDescent="0.35">
      <c r="A23" s="946">
        <v>11</v>
      </c>
      <c r="B23" s="909" t="s">
        <v>508</v>
      </c>
      <c r="C23" s="945" t="s">
        <v>509</v>
      </c>
      <c r="D23" s="984" t="s">
        <v>510</v>
      </c>
      <c r="E23" s="590"/>
      <c r="F23" s="590"/>
      <c r="G23" s="590" t="s">
        <v>149</v>
      </c>
      <c r="H23" s="590"/>
      <c r="I23" s="590"/>
      <c r="J23" s="591"/>
      <c r="K23" s="591"/>
      <c r="L23" s="591"/>
      <c r="M23" s="990"/>
    </row>
    <row r="24" spans="1:13" s="592" customFormat="1" ht="184.9" customHeight="1" x14ac:dyDescent="0.35">
      <c r="A24" s="946"/>
      <c r="B24" s="909"/>
      <c r="C24" s="945"/>
      <c r="D24" s="984"/>
      <c r="E24" s="781" t="s">
        <v>511</v>
      </c>
      <c r="F24" s="781" t="s">
        <v>512</v>
      </c>
      <c r="G24" s="781" t="s">
        <v>513</v>
      </c>
      <c r="H24" s="781" t="s">
        <v>514</v>
      </c>
      <c r="I24" s="781" t="s">
        <v>515</v>
      </c>
      <c r="J24" s="481"/>
      <c r="K24" s="481"/>
      <c r="L24" s="481"/>
      <c r="M24" s="990"/>
    </row>
    <row r="25" spans="1:13" s="498" customFormat="1" ht="15.5" x14ac:dyDescent="0.35">
      <c r="A25" s="593"/>
      <c r="B25" s="594"/>
      <c r="C25" s="594"/>
      <c r="D25" s="594"/>
      <c r="E25" s="594"/>
      <c r="F25" s="594"/>
      <c r="G25" s="594"/>
      <c r="H25" s="594"/>
      <c r="I25" s="594"/>
      <c r="J25" s="594"/>
      <c r="K25" s="594"/>
      <c r="L25" s="594"/>
      <c r="M25" s="595"/>
    </row>
    <row r="26" spans="1:13" s="498" customFormat="1" x14ac:dyDescent="0.45">
      <c r="A26" s="495"/>
      <c r="B26" s="596" t="s">
        <v>74</v>
      </c>
      <c r="M26" s="499"/>
    </row>
    <row r="27" spans="1:13" s="498" customFormat="1" ht="15.5" x14ac:dyDescent="0.35">
      <c r="A27" s="495"/>
      <c r="M27" s="499"/>
    </row>
    <row r="28" spans="1:13" s="498" customFormat="1" ht="15.5" x14ac:dyDescent="0.35">
      <c r="A28" s="495"/>
      <c r="M28" s="499"/>
    </row>
    <row r="29" spans="1:13" s="498" customFormat="1" ht="15.5" x14ac:dyDescent="0.35">
      <c r="A29" s="495"/>
      <c r="M29" s="499"/>
    </row>
    <row r="30" spans="1:13" s="498" customFormat="1" ht="15.5" x14ac:dyDescent="0.35">
      <c r="A30" s="495"/>
      <c r="M30" s="499"/>
    </row>
    <row r="31" spans="1:13" s="498" customFormat="1" ht="15.5" x14ac:dyDescent="0.35">
      <c r="A31" s="495"/>
      <c r="M31" s="499"/>
    </row>
    <row r="32" spans="1:13" s="498" customFormat="1" ht="15.5" x14ac:dyDescent="0.35">
      <c r="A32" s="495"/>
      <c r="M32" s="499"/>
    </row>
    <row r="33" spans="1:13" s="498" customFormat="1" ht="15.5" x14ac:dyDescent="0.35">
      <c r="A33" s="495"/>
      <c r="M33" s="499"/>
    </row>
    <row r="34" spans="1:13" s="498" customFormat="1" ht="15.5" x14ac:dyDescent="0.35">
      <c r="A34" s="495"/>
      <c r="M34" s="499"/>
    </row>
    <row r="35" spans="1:13" s="498" customFormat="1" ht="15.5" x14ac:dyDescent="0.35">
      <c r="A35" s="495"/>
      <c r="M35" s="499"/>
    </row>
    <row r="36" spans="1:13" s="498" customFormat="1" ht="15.5" x14ac:dyDescent="0.35">
      <c r="A36" s="495"/>
      <c r="M36" s="499"/>
    </row>
    <row r="37" spans="1:13" s="498" customFormat="1" ht="15.5" x14ac:dyDescent="0.35"/>
    <row r="38" spans="1:13" s="498" customFormat="1" ht="15.5" x14ac:dyDescent="0.35"/>
    <row r="39" spans="1:13" s="498" customFormat="1" ht="15.5" x14ac:dyDescent="0.35"/>
    <row r="40" spans="1:13" s="498" customFormat="1" ht="15.5" x14ac:dyDescent="0.35"/>
    <row r="41" spans="1:13" s="498" customFormat="1" ht="15.5" x14ac:dyDescent="0.35"/>
    <row r="42" spans="1:13" s="498" customFormat="1" ht="15.5" x14ac:dyDescent="0.35"/>
    <row r="43" spans="1:13" s="498" customFormat="1" ht="15.5" x14ac:dyDescent="0.35"/>
    <row r="44" spans="1:13" s="498" customFormat="1" ht="15.5" x14ac:dyDescent="0.35"/>
    <row r="45" spans="1:13" s="498" customFormat="1" ht="15.5" x14ac:dyDescent="0.35"/>
    <row r="46" spans="1:13" s="498" customFormat="1" ht="15.5" x14ac:dyDescent="0.35"/>
    <row r="47" spans="1:13" s="498" customFormat="1" ht="15.5" x14ac:dyDescent="0.35"/>
    <row r="48" spans="1:13" s="498" customFormat="1" ht="15.5" x14ac:dyDescent="0.35"/>
    <row r="49" s="498" customFormat="1" ht="15.5" x14ac:dyDescent="0.35"/>
    <row r="50" s="498" customFormat="1" ht="15.5" x14ac:dyDescent="0.35"/>
    <row r="51" s="498" customFormat="1" ht="15.5" x14ac:dyDescent="0.35"/>
    <row r="52" s="498" customFormat="1" ht="15.5" x14ac:dyDescent="0.35"/>
    <row r="53" s="498" customFormat="1" ht="15.5" x14ac:dyDescent="0.35"/>
    <row r="54" s="498" customFormat="1" ht="15.5" x14ac:dyDescent="0.35"/>
    <row r="55" s="498" customFormat="1" ht="15.5" x14ac:dyDescent="0.35"/>
    <row r="56" s="498" customFormat="1" ht="15.5" x14ac:dyDescent="0.35"/>
    <row r="57" s="498" customFormat="1" ht="15.5" x14ac:dyDescent="0.35"/>
    <row r="58" s="498" customFormat="1" ht="15.5" x14ac:dyDescent="0.35"/>
    <row r="59" s="498" customFormat="1" ht="15.5" x14ac:dyDescent="0.35"/>
    <row r="60" s="498" customFormat="1" ht="15.5" x14ac:dyDescent="0.35"/>
    <row r="61" s="498" customFormat="1" ht="15.5" x14ac:dyDescent="0.35"/>
    <row r="62" s="498" customFormat="1" ht="15.5" x14ac:dyDescent="0.35"/>
    <row r="63" s="498" customFormat="1" ht="15.5" x14ac:dyDescent="0.35"/>
    <row r="64" s="498" customFormat="1" ht="15.5" x14ac:dyDescent="0.35"/>
    <row r="65" spans="1:13" s="498" customFormat="1" ht="15.5" x14ac:dyDescent="0.35"/>
    <row r="66" spans="1:13" s="498" customFormat="1" ht="15.5" x14ac:dyDescent="0.35"/>
    <row r="67" spans="1:13" s="498" customFormat="1" ht="15.5" x14ac:dyDescent="0.35"/>
    <row r="68" spans="1:13" s="498" customFormat="1" ht="15.5" x14ac:dyDescent="0.35"/>
    <row r="69" spans="1:13" s="498" customFormat="1" ht="15.5" x14ac:dyDescent="0.35">
      <c r="A69" s="564"/>
      <c r="B69" s="565"/>
      <c r="C69" s="565"/>
      <c r="D69" s="565"/>
      <c r="E69" s="565"/>
      <c r="F69" s="565"/>
      <c r="G69" s="565"/>
      <c r="H69" s="565"/>
      <c r="I69" s="565"/>
      <c r="J69" s="565"/>
      <c r="K69" s="565"/>
      <c r="L69" s="565"/>
      <c r="M69" s="566"/>
    </row>
    <row r="70" spans="1:13" s="498" customFormat="1" ht="15.5" x14ac:dyDescent="0.35">
      <c r="A70"/>
      <c r="B70"/>
      <c r="C70"/>
      <c r="D70"/>
      <c r="E70"/>
      <c r="F70"/>
      <c r="G70"/>
      <c r="H70"/>
      <c r="I70"/>
      <c r="J70"/>
      <c r="K70"/>
      <c r="L70"/>
      <c r="M70"/>
    </row>
    <row r="71" spans="1:13" s="498" customFormat="1" ht="15.5" x14ac:dyDescent="0.35">
      <c r="A71"/>
      <c r="B71"/>
      <c r="C71"/>
      <c r="D71"/>
      <c r="E71"/>
      <c r="F71"/>
      <c r="G71"/>
      <c r="H71"/>
      <c r="I71"/>
      <c r="J71"/>
      <c r="K71"/>
      <c r="L71"/>
      <c r="M71"/>
    </row>
    <row r="72" spans="1:13" s="597" customFormat="1" ht="15.5" x14ac:dyDescent="0.35">
      <c r="A72"/>
      <c r="B72"/>
      <c r="C72"/>
      <c r="D72"/>
      <c r="E72"/>
      <c r="F72"/>
      <c r="G72"/>
      <c r="H72"/>
      <c r="I72"/>
      <c r="J72"/>
      <c r="K72"/>
      <c r="L72"/>
      <c r="M72"/>
    </row>
    <row r="73" spans="1:13" s="597" customFormat="1" ht="15.5" x14ac:dyDescent="0.35"/>
    <row r="74" spans="1:13" s="597" customFormat="1" ht="15.5" x14ac:dyDescent="0.35"/>
    <row r="75" spans="1:13" s="597" customFormat="1" ht="15.5" x14ac:dyDescent="0.35"/>
    <row r="76" spans="1:13" s="597" customFormat="1" ht="15.5" x14ac:dyDescent="0.35"/>
    <row r="77" spans="1:13" s="597" customFormat="1" ht="15.5" x14ac:dyDescent="0.35"/>
    <row r="78" spans="1:13" s="597" customFormat="1" ht="15.5" x14ac:dyDescent="0.35"/>
    <row r="79" spans="1:13" s="597" customFormat="1" ht="15.5" x14ac:dyDescent="0.35"/>
    <row r="80" spans="1:13" s="597" customFormat="1" ht="15.5" x14ac:dyDescent="0.35"/>
    <row r="81" s="597" customFormat="1" ht="15.5" x14ac:dyDescent="0.35"/>
    <row r="82" s="597" customFormat="1" ht="15.5" x14ac:dyDescent="0.35"/>
    <row r="83" s="597" customFormat="1" ht="15.5" x14ac:dyDescent="0.35"/>
    <row r="84" s="597" customFormat="1" ht="15.5" x14ac:dyDescent="0.35"/>
    <row r="85" s="597" customFormat="1" ht="15.5" x14ac:dyDescent="0.35"/>
    <row r="86" s="597" customFormat="1" ht="15.5" x14ac:dyDescent="0.35"/>
    <row r="87" s="597" customFormat="1" ht="15.5" x14ac:dyDescent="0.35"/>
    <row r="88" s="597" customFormat="1" ht="15.5" x14ac:dyDescent="0.35"/>
    <row r="89" s="597" customFormat="1" ht="15.5" x14ac:dyDescent="0.35"/>
    <row r="90" s="597" customFormat="1" ht="15.5" x14ac:dyDescent="0.35"/>
    <row r="91" s="597" customFormat="1" ht="15.5" x14ac:dyDescent="0.35"/>
    <row r="92" s="597" customFormat="1" ht="15.5" x14ac:dyDescent="0.35"/>
    <row r="93" s="597" customFormat="1" ht="15.5" x14ac:dyDescent="0.35"/>
    <row r="94" s="597" customFormat="1" ht="15.5" x14ac:dyDescent="0.35"/>
    <row r="95" s="597" customFormat="1" ht="15.5" x14ac:dyDescent="0.35"/>
    <row r="96" s="597" customFormat="1" ht="15.5" x14ac:dyDescent="0.35"/>
    <row r="97" s="597" customFormat="1" ht="15.5" x14ac:dyDescent="0.35"/>
    <row r="98" s="597" customFormat="1" ht="15.5" x14ac:dyDescent="0.35"/>
    <row r="99" s="597" customFormat="1" ht="15.5" x14ac:dyDescent="0.35"/>
    <row r="100" s="597" customFormat="1" ht="15.5" x14ac:dyDescent="0.35"/>
    <row r="101" s="597" customFormat="1" ht="15.5" x14ac:dyDescent="0.35"/>
    <row r="102" s="597" customFormat="1" ht="15.5" x14ac:dyDescent="0.35"/>
    <row r="103" s="597" customFormat="1" ht="15.5" x14ac:dyDescent="0.35"/>
    <row r="104" s="597" customFormat="1" ht="15.5" x14ac:dyDescent="0.35"/>
    <row r="105" s="597" customFormat="1" ht="15.5" x14ac:dyDescent="0.35"/>
    <row r="106" s="597" customFormat="1" ht="15.5" x14ac:dyDescent="0.35"/>
    <row r="107" s="597" customFormat="1" ht="15.5" x14ac:dyDescent="0.35"/>
    <row r="108" s="597" customFormat="1" ht="15.5" x14ac:dyDescent="0.35"/>
    <row r="109" s="597" customFormat="1" ht="15.5" x14ac:dyDescent="0.35"/>
    <row r="110" s="597" customFormat="1" ht="15.5" x14ac:dyDescent="0.35"/>
    <row r="111" s="597" customFormat="1" ht="15.5" x14ac:dyDescent="0.35"/>
    <row r="112" s="597" customFormat="1" ht="15.5" x14ac:dyDescent="0.35"/>
    <row r="113" s="597" customFormat="1" ht="15.5" x14ac:dyDescent="0.35"/>
    <row r="114" s="597" customFormat="1" ht="15.5" x14ac:dyDescent="0.35"/>
    <row r="115" s="597" customFormat="1" ht="15.5" x14ac:dyDescent="0.35"/>
    <row r="116" s="597" customFormat="1" ht="15.5" x14ac:dyDescent="0.35"/>
    <row r="117" s="597" customFormat="1" ht="15.5" x14ac:dyDescent="0.35"/>
    <row r="118" s="597" customFormat="1" ht="15.5" x14ac:dyDescent="0.35"/>
    <row r="119" s="597" customFormat="1" ht="15.5" x14ac:dyDescent="0.35"/>
    <row r="120" s="597" customFormat="1" ht="15.5" x14ac:dyDescent="0.35"/>
    <row r="121" s="597" customFormat="1" ht="15.5" x14ac:dyDescent="0.35"/>
    <row r="122" s="597" customFormat="1" ht="15.5" x14ac:dyDescent="0.35"/>
    <row r="123" s="597" customFormat="1" ht="15.5" x14ac:dyDescent="0.35"/>
    <row r="124" s="597" customFormat="1" ht="15.5" x14ac:dyDescent="0.35"/>
    <row r="125" s="597" customFormat="1" ht="15.5" x14ac:dyDescent="0.35"/>
    <row r="126" s="597" customFormat="1" ht="15.5" x14ac:dyDescent="0.35"/>
    <row r="127" s="597" customFormat="1" ht="15.5" x14ac:dyDescent="0.35"/>
    <row r="128" s="597" customFormat="1" ht="15.5" x14ac:dyDescent="0.35"/>
    <row r="129" s="597" customFormat="1" ht="15.5" x14ac:dyDescent="0.35"/>
    <row r="130" s="597" customFormat="1" ht="15.5" x14ac:dyDescent="0.35"/>
    <row r="131" s="597" customFormat="1" ht="15.5" x14ac:dyDescent="0.35"/>
    <row r="132" s="597" customFormat="1" ht="15.5" x14ac:dyDescent="0.35"/>
    <row r="133" s="597" customFormat="1" ht="15.5" x14ac:dyDescent="0.35"/>
    <row r="134" s="597" customFormat="1" ht="15.5" x14ac:dyDescent="0.35"/>
    <row r="135" s="597" customFormat="1" ht="15.5" x14ac:dyDescent="0.35"/>
    <row r="136" s="597" customFormat="1" ht="15.5" x14ac:dyDescent="0.35"/>
    <row r="137" s="597" customFormat="1" ht="15.5" x14ac:dyDescent="0.35"/>
    <row r="138" s="597" customFormat="1" ht="15.5" x14ac:dyDescent="0.35"/>
    <row r="139" s="597" customFormat="1" ht="15.5" x14ac:dyDescent="0.35"/>
    <row r="140" s="597" customFormat="1" ht="15.5" x14ac:dyDescent="0.35"/>
    <row r="141" s="498" customFormat="1" ht="15.5" x14ac:dyDescent="0.35"/>
    <row r="142" s="498" customFormat="1" ht="15.5" x14ac:dyDescent="0.35"/>
    <row r="143" s="498" customFormat="1" ht="15.5" x14ac:dyDescent="0.35"/>
    <row r="144" s="498" customFormat="1" ht="15.5" x14ac:dyDescent="0.35"/>
    <row r="145" s="498" customFormat="1" ht="15.5" x14ac:dyDescent="0.35"/>
    <row r="146" s="498" customFormat="1" ht="15.5" x14ac:dyDescent="0.35"/>
    <row r="147" s="498" customFormat="1" ht="15.5" x14ac:dyDescent="0.35"/>
    <row r="148" s="498" customFormat="1" ht="15.5" x14ac:dyDescent="0.35"/>
    <row r="149" s="498" customFormat="1" ht="15.5" x14ac:dyDescent="0.35"/>
    <row r="150" s="498" customFormat="1" ht="15.5" x14ac:dyDescent="0.35"/>
    <row r="151" s="498" customFormat="1" ht="15.5" x14ac:dyDescent="0.35"/>
    <row r="152" s="498" customFormat="1" ht="15.5" x14ac:dyDescent="0.35"/>
    <row r="153" s="498" customFormat="1" ht="15.5" x14ac:dyDescent="0.35"/>
    <row r="154" s="498" customFormat="1" ht="15.5" x14ac:dyDescent="0.35"/>
    <row r="155" s="498" customFormat="1" ht="15.5" x14ac:dyDescent="0.35"/>
    <row r="156" s="498" customFormat="1" ht="15.5" x14ac:dyDescent="0.35"/>
    <row r="157" s="498" customFormat="1" ht="15.5" x14ac:dyDescent="0.35"/>
    <row r="158" s="498" customFormat="1" ht="15.5" x14ac:dyDescent="0.35"/>
    <row r="159" s="498" customFormat="1" ht="15.5" x14ac:dyDescent="0.35"/>
    <row r="160" s="498" customFormat="1" ht="15.5" x14ac:dyDescent="0.35"/>
    <row r="161" s="498" customFormat="1" ht="15.5" x14ac:dyDescent="0.35"/>
    <row r="162" s="498" customFormat="1" ht="15.5" x14ac:dyDescent="0.35"/>
    <row r="163" s="498" customFormat="1" ht="15.5" x14ac:dyDescent="0.35"/>
    <row r="164" s="498" customFormat="1" ht="15.5" x14ac:dyDescent="0.35"/>
    <row r="165" s="498" customFormat="1" ht="15.5" x14ac:dyDescent="0.35"/>
    <row r="166" s="498" customFormat="1" ht="15.5" x14ac:dyDescent="0.35"/>
    <row r="167" s="498" customFormat="1" ht="15.5" x14ac:dyDescent="0.35"/>
    <row r="168" s="498" customFormat="1" ht="15.5" x14ac:dyDescent="0.35"/>
    <row r="169" s="498" customFormat="1" ht="15.5" x14ac:dyDescent="0.35"/>
    <row r="170" s="498" customFormat="1" ht="15.5" x14ac:dyDescent="0.35"/>
    <row r="171" s="498" customFormat="1" ht="15.5" x14ac:dyDescent="0.35"/>
    <row r="172" s="498" customFormat="1" ht="15.5" x14ac:dyDescent="0.35"/>
    <row r="173" s="498" customFormat="1" ht="15.5" x14ac:dyDescent="0.35"/>
    <row r="174" s="498" customFormat="1" ht="15.5" x14ac:dyDescent="0.35"/>
    <row r="175" s="498" customFormat="1" ht="15.5" x14ac:dyDescent="0.35"/>
    <row r="176" s="498" customFormat="1" ht="15.5" x14ac:dyDescent="0.35"/>
    <row r="177" s="498" customFormat="1" ht="15.5" x14ac:dyDescent="0.35"/>
    <row r="178" s="498" customFormat="1" ht="15.5" x14ac:dyDescent="0.35"/>
    <row r="179" s="498" customFormat="1" ht="15.5" x14ac:dyDescent="0.35"/>
    <row r="180" s="498" customFormat="1" ht="15.5" x14ac:dyDescent="0.35"/>
    <row r="181" s="498" customFormat="1" ht="15.5" x14ac:dyDescent="0.35"/>
    <row r="182" s="498" customFormat="1" ht="15.5" x14ac:dyDescent="0.35"/>
    <row r="183" s="498" customFormat="1" ht="15.5" x14ac:dyDescent="0.35"/>
    <row r="184" s="498" customFormat="1" ht="15.5" x14ac:dyDescent="0.35"/>
    <row r="185" s="498" customFormat="1" ht="15.5" x14ac:dyDescent="0.35"/>
    <row r="186" s="498" customFormat="1" ht="15.5" x14ac:dyDescent="0.35"/>
    <row r="187" s="498" customFormat="1" ht="15.5" x14ac:dyDescent="0.35"/>
    <row r="188" s="498" customFormat="1" ht="15.5" x14ac:dyDescent="0.35"/>
    <row r="189" s="498" customFormat="1" ht="15.5" x14ac:dyDescent="0.35"/>
    <row r="190" s="498" customFormat="1" ht="15.5" x14ac:dyDescent="0.35"/>
    <row r="191" s="498" customFormat="1" ht="15.5" x14ac:dyDescent="0.35"/>
    <row r="192" s="498" customFormat="1" ht="15.5" x14ac:dyDescent="0.35"/>
    <row r="193" s="498" customFormat="1" ht="15.5" x14ac:dyDescent="0.35"/>
    <row r="194" s="498" customFormat="1" ht="15.5" x14ac:dyDescent="0.35"/>
    <row r="195" s="498" customFormat="1" ht="15.5" x14ac:dyDescent="0.35"/>
    <row r="196" s="498" customFormat="1" ht="15.5" x14ac:dyDescent="0.35"/>
    <row r="197" s="498" customFormat="1" ht="15.5" x14ac:dyDescent="0.35"/>
    <row r="198" s="498" customFormat="1" ht="15.5" x14ac:dyDescent="0.35"/>
    <row r="199" s="498" customFormat="1" ht="15.5" x14ac:dyDescent="0.35"/>
    <row r="200" s="498" customFormat="1" ht="15.5" x14ac:dyDescent="0.35"/>
    <row r="201" s="498" customFormat="1" ht="15.5" x14ac:dyDescent="0.35"/>
    <row r="202" s="498" customFormat="1" ht="15.5" x14ac:dyDescent="0.35"/>
    <row r="203" s="498" customFormat="1" ht="15.5" x14ac:dyDescent="0.35"/>
    <row r="204" s="498" customFormat="1" ht="15.5" x14ac:dyDescent="0.35"/>
    <row r="205" s="498" customFormat="1" ht="15.5" x14ac:dyDescent="0.35"/>
    <row r="206" s="498" customFormat="1" ht="15.5" x14ac:dyDescent="0.35"/>
    <row r="207" s="498" customFormat="1" ht="15.5" x14ac:dyDescent="0.35"/>
    <row r="208" s="498" customFormat="1" ht="15.5" x14ac:dyDescent="0.35"/>
    <row r="209" s="498" customFormat="1" ht="15.5" x14ac:dyDescent="0.35"/>
    <row r="210" s="498" customFormat="1" ht="15.5" x14ac:dyDescent="0.35"/>
    <row r="211" s="498" customFormat="1" ht="15.5" x14ac:dyDescent="0.35"/>
    <row r="212" s="498" customFormat="1" ht="15.5" x14ac:dyDescent="0.35"/>
    <row r="213" s="498" customFormat="1" ht="15.5" x14ac:dyDescent="0.35"/>
    <row r="214" s="498" customFormat="1" ht="15.5" x14ac:dyDescent="0.35"/>
    <row r="215" s="498" customFormat="1" ht="15.5" x14ac:dyDescent="0.35"/>
    <row r="216" s="498" customFormat="1" ht="15.5" x14ac:dyDescent="0.35"/>
    <row r="217" s="498" customFormat="1" ht="15.5" x14ac:dyDescent="0.35"/>
    <row r="218" s="498" customFormat="1" ht="15.5" x14ac:dyDescent="0.35"/>
    <row r="219" s="498" customFormat="1" ht="15.5" x14ac:dyDescent="0.35"/>
    <row r="220" s="498" customFormat="1" ht="15.5" x14ac:dyDescent="0.35"/>
    <row r="221" s="498" customFormat="1" ht="15.5" x14ac:dyDescent="0.35"/>
    <row r="222" s="498" customFormat="1" ht="15.5" x14ac:dyDescent="0.35"/>
    <row r="223" s="498" customFormat="1" ht="15.5" x14ac:dyDescent="0.35"/>
    <row r="224" s="498" customFormat="1" ht="15.5" x14ac:dyDescent="0.35"/>
    <row r="225" s="498" customFormat="1" ht="15.5" x14ac:dyDescent="0.35"/>
    <row r="226" s="498" customFormat="1" ht="15.5" x14ac:dyDescent="0.35"/>
    <row r="227" s="498" customFormat="1" ht="15.5" x14ac:dyDescent="0.35"/>
    <row r="228" s="498" customFormat="1" ht="15.5" x14ac:dyDescent="0.35"/>
    <row r="229" s="498" customFormat="1" ht="15.5" x14ac:dyDescent="0.35"/>
    <row r="230" s="498" customFormat="1" ht="15.5" x14ac:dyDescent="0.35"/>
    <row r="231" s="498" customFormat="1" ht="15.5" x14ac:dyDescent="0.35"/>
    <row r="232" s="498" customFormat="1" ht="15.5" x14ac:dyDescent="0.35"/>
    <row r="233" s="498" customFormat="1" ht="15.5" x14ac:dyDescent="0.35"/>
    <row r="234" s="498" customFormat="1" ht="15.5" x14ac:dyDescent="0.35"/>
    <row r="235" s="498" customFormat="1" ht="15.5" x14ac:dyDescent="0.35"/>
    <row r="236" s="498" customFormat="1" ht="15.5" x14ac:dyDescent="0.35"/>
    <row r="237" s="498" customFormat="1" ht="15.5" x14ac:dyDescent="0.35"/>
    <row r="238" s="498" customFormat="1" ht="15.5" x14ac:dyDescent="0.35"/>
    <row r="239" s="498" customFormat="1" ht="15.5" x14ac:dyDescent="0.35"/>
    <row r="240" s="498" customFormat="1" ht="15.5" x14ac:dyDescent="0.35"/>
    <row r="241" s="498" customFormat="1" ht="15.5" x14ac:dyDescent="0.35"/>
    <row r="242" s="498" customFormat="1" ht="15.5" x14ac:dyDescent="0.35"/>
    <row r="243" s="498" customFormat="1" ht="15.5" x14ac:dyDescent="0.35"/>
    <row r="244" s="498" customFormat="1" ht="15.5" x14ac:dyDescent="0.35"/>
    <row r="245" s="498" customFormat="1" ht="15.5" x14ac:dyDescent="0.35"/>
    <row r="246" s="498" customFormat="1" ht="15.5" x14ac:dyDescent="0.35"/>
    <row r="247" s="498" customFormat="1" ht="15.5" x14ac:dyDescent="0.35"/>
    <row r="248" s="498" customFormat="1" ht="15.5" x14ac:dyDescent="0.35"/>
    <row r="249" s="498" customFormat="1" ht="15.5" x14ac:dyDescent="0.35"/>
    <row r="250" s="498" customFormat="1" ht="15.5" x14ac:dyDescent="0.35"/>
    <row r="251" s="498" customFormat="1" ht="15.5" x14ac:dyDescent="0.35"/>
    <row r="252" s="498" customFormat="1" ht="15.5" x14ac:dyDescent="0.35"/>
    <row r="253" s="498" customFormat="1" ht="15.5" x14ac:dyDescent="0.35"/>
    <row r="254" s="498" customFormat="1" ht="15.5" x14ac:dyDescent="0.35"/>
    <row r="255" s="498" customFormat="1" ht="15.5" x14ac:dyDescent="0.35"/>
    <row r="256" s="498" customFormat="1" ht="15.5" x14ac:dyDescent="0.35"/>
    <row r="257" s="498" customFormat="1" ht="15.5" x14ac:dyDescent="0.35"/>
    <row r="258" s="498" customFormat="1" ht="15.5" x14ac:dyDescent="0.35"/>
    <row r="259" s="498" customFormat="1" ht="15.5" x14ac:dyDescent="0.35"/>
    <row r="260" s="498" customFormat="1" ht="15.5" x14ac:dyDescent="0.35"/>
    <row r="261" s="498" customFormat="1" ht="15.5" x14ac:dyDescent="0.35"/>
    <row r="262" s="498" customFormat="1" ht="15.5" x14ac:dyDescent="0.35"/>
    <row r="263" s="498" customFormat="1" ht="15.5" x14ac:dyDescent="0.35"/>
    <row r="264" s="498" customFormat="1" ht="15.5" x14ac:dyDescent="0.35"/>
    <row r="265" s="498" customFormat="1" ht="15.5" x14ac:dyDescent="0.35"/>
    <row r="266" s="498" customFormat="1" ht="15.5" x14ac:dyDescent="0.35"/>
    <row r="267" s="498" customFormat="1" ht="15.5" x14ac:dyDescent="0.35"/>
    <row r="268" s="498" customFormat="1" ht="15.5" x14ac:dyDescent="0.35"/>
    <row r="269" s="498" customFormat="1" ht="15.5" x14ac:dyDescent="0.35"/>
    <row r="270" s="498" customFormat="1" ht="15.5" x14ac:dyDescent="0.35"/>
    <row r="271" s="498" customFormat="1" ht="15.5" x14ac:dyDescent="0.35"/>
    <row r="272" s="498" customFormat="1" ht="15.5" x14ac:dyDescent="0.35"/>
    <row r="273" s="498" customFormat="1" ht="15.5" x14ac:dyDescent="0.35"/>
    <row r="274" s="498" customFormat="1" ht="15.5" x14ac:dyDescent="0.35"/>
    <row r="275" s="498" customFormat="1" ht="15.5" x14ac:dyDescent="0.35"/>
    <row r="276" s="498" customFormat="1" ht="15.5" x14ac:dyDescent="0.35"/>
    <row r="277" s="498" customFormat="1" ht="15.5" x14ac:dyDescent="0.35"/>
    <row r="278" s="498" customFormat="1" ht="15.5" x14ac:dyDescent="0.35"/>
    <row r="279" s="498" customFormat="1" ht="15.5" x14ac:dyDescent="0.35"/>
    <row r="280" s="498" customFormat="1" ht="15.5" x14ac:dyDescent="0.35"/>
    <row r="281" s="498" customFormat="1" ht="15.5" x14ac:dyDescent="0.35"/>
    <row r="282" s="498" customFormat="1" ht="15.5" x14ac:dyDescent="0.35"/>
    <row r="283" s="498" customFormat="1" ht="15.5" x14ac:dyDescent="0.35"/>
    <row r="284" s="498" customFormat="1" ht="15.5" x14ac:dyDescent="0.35"/>
    <row r="285" s="498" customFormat="1" ht="15.5" x14ac:dyDescent="0.35"/>
    <row r="286" s="498" customFormat="1" ht="15.5" x14ac:dyDescent="0.35"/>
    <row r="287" s="498" customFormat="1" ht="15.5" x14ac:dyDescent="0.35"/>
    <row r="288" s="498" customFormat="1" ht="15.5" x14ac:dyDescent="0.35"/>
    <row r="289" spans="1:1" s="498" customFormat="1" ht="15.5" x14ac:dyDescent="0.35"/>
    <row r="290" spans="1:1" s="498" customFormat="1" ht="15.5" x14ac:dyDescent="0.35"/>
    <row r="291" spans="1:1" s="498" customFormat="1" ht="15.5" x14ac:dyDescent="0.35"/>
    <row r="292" spans="1:1" s="498" customFormat="1" ht="15.5" x14ac:dyDescent="0.35"/>
    <row r="293" spans="1:1" s="498" customFormat="1" ht="15.5" x14ac:dyDescent="0.35"/>
    <row r="294" spans="1:1" s="498" customFormat="1" ht="15.5" x14ac:dyDescent="0.35"/>
    <row r="295" spans="1:1" s="498" customFormat="1" ht="15.5" x14ac:dyDescent="0.35"/>
    <row r="296" spans="1:1" s="498" customFormat="1" ht="15.5" x14ac:dyDescent="0.35"/>
    <row r="297" spans="1:1" s="498" customFormat="1" ht="15.5" x14ac:dyDescent="0.35"/>
    <row r="298" spans="1:1" s="498" customFormat="1" ht="15.5" x14ac:dyDescent="0.35"/>
    <row r="299" spans="1:1" s="498" customFormat="1" ht="15.5" x14ac:dyDescent="0.35"/>
    <row r="300" spans="1:1" s="498" customFormat="1" ht="15.5" x14ac:dyDescent="0.35"/>
    <row r="301" spans="1:1" s="498" customFormat="1" ht="15.5" x14ac:dyDescent="0.35"/>
    <row r="302" spans="1:1" s="536" customFormat="1" x14ac:dyDescent="0.35">
      <c r="A302" s="553"/>
    </row>
    <row r="303" spans="1:1" s="536" customFormat="1" x14ac:dyDescent="0.35">
      <c r="A303" s="553"/>
    </row>
    <row r="304" spans="1:1" s="536" customFormat="1" x14ac:dyDescent="0.35">
      <c r="A304" s="553"/>
    </row>
    <row r="305" spans="1:1" s="536" customFormat="1" x14ac:dyDescent="0.35">
      <c r="A305" s="553"/>
    </row>
    <row r="306" spans="1:1" s="536" customFormat="1" x14ac:dyDescent="0.35">
      <c r="A306" s="553"/>
    </row>
    <row r="307" spans="1:1" s="536" customFormat="1" x14ac:dyDescent="0.35">
      <c r="A307" s="553"/>
    </row>
    <row r="308" spans="1:1" s="536" customFormat="1" x14ac:dyDescent="0.35">
      <c r="A308" s="553"/>
    </row>
    <row r="309" spans="1:1" s="536" customFormat="1" x14ac:dyDescent="0.35">
      <c r="A309" s="553"/>
    </row>
    <row r="310" spans="1:1" s="536" customFormat="1" x14ac:dyDescent="0.35">
      <c r="A310" s="553"/>
    </row>
    <row r="311" spans="1:1" s="536" customFormat="1" x14ac:dyDescent="0.35">
      <c r="A311" s="553"/>
    </row>
    <row r="312" spans="1:1" s="536" customFormat="1" x14ac:dyDescent="0.35">
      <c r="A312" s="553"/>
    </row>
    <row r="313" spans="1:1" s="536" customFormat="1" x14ac:dyDescent="0.35">
      <c r="A313" s="553"/>
    </row>
    <row r="314" spans="1:1" s="536" customFormat="1" x14ac:dyDescent="0.35">
      <c r="A314" s="553"/>
    </row>
    <row r="315" spans="1:1" s="536" customFormat="1" x14ac:dyDescent="0.35">
      <c r="A315" s="553"/>
    </row>
    <row r="316" spans="1:1" s="536" customFormat="1" x14ac:dyDescent="0.35">
      <c r="A316" s="553"/>
    </row>
    <row r="317" spans="1:1" s="536" customFormat="1" x14ac:dyDescent="0.35">
      <c r="A317" s="553"/>
    </row>
    <row r="318" spans="1:1" s="536" customFormat="1" x14ac:dyDescent="0.35">
      <c r="A318" s="553"/>
    </row>
    <row r="319" spans="1:1" s="536" customFormat="1" x14ac:dyDescent="0.35">
      <c r="A319" s="553"/>
    </row>
    <row r="320" spans="1:1" s="536" customFormat="1" x14ac:dyDescent="0.35">
      <c r="A320" s="553"/>
    </row>
    <row r="321" spans="1:1" s="536" customFormat="1" x14ac:dyDescent="0.35">
      <c r="A321" s="553"/>
    </row>
    <row r="322" spans="1:1" s="536" customFormat="1" x14ac:dyDescent="0.35">
      <c r="A322" s="553"/>
    </row>
    <row r="323" spans="1:1" s="536" customFormat="1" x14ac:dyDescent="0.35">
      <c r="A323" s="553"/>
    </row>
    <row r="324" spans="1:1" s="536" customFormat="1" x14ac:dyDescent="0.35">
      <c r="A324" s="553"/>
    </row>
    <row r="325" spans="1:1" s="536" customFormat="1" x14ac:dyDescent="0.35">
      <c r="A325" s="553"/>
    </row>
    <row r="326" spans="1:1" s="536" customFormat="1" x14ac:dyDescent="0.35">
      <c r="A326" s="553"/>
    </row>
    <row r="327" spans="1:1" s="536" customFormat="1" x14ac:dyDescent="0.35">
      <c r="A327" s="553"/>
    </row>
    <row r="328" spans="1:1" s="536" customFormat="1" x14ac:dyDescent="0.35">
      <c r="A328" s="553"/>
    </row>
    <row r="329" spans="1:1" s="536" customFormat="1" x14ac:dyDescent="0.35">
      <c r="A329" s="553"/>
    </row>
    <row r="330" spans="1:1" s="536" customFormat="1" x14ac:dyDescent="0.35">
      <c r="A330" s="553"/>
    </row>
    <row r="331" spans="1:1" s="536" customFormat="1" x14ac:dyDescent="0.35">
      <c r="A331" s="553"/>
    </row>
    <row r="332" spans="1:1" s="536" customFormat="1" x14ac:dyDescent="0.35">
      <c r="A332" s="553"/>
    </row>
    <row r="333" spans="1:1" s="536" customFormat="1" x14ac:dyDescent="0.35">
      <c r="A333" s="553"/>
    </row>
    <row r="334" spans="1:1" s="536" customFormat="1" x14ac:dyDescent="0.35">
      <c r="A334" s="553"/>
    </row>
    <row r="335" spans="1:1" s="536" customFormat="1" x14ac:dyDescent="0.35">
      <c r="A335" s="553"/>
    </row>
    <row r="336" spans="1:1" s="536" customFormat="1" x14ac:dyDescent="0.35">
      <c r="A336" s="553"/>
    </row>
    <row r="337" spans="1:1" s="536" customFormat="1" x14ac:dyDescent="0.35">
      <c r="A337" s="553"/>
    </row>
    <row r="338" spans="1:1" s="536" customFormat="1" x14ac:dyDescent="0.35">
      <c r="A338" s="553"/>
    </row>
    <row r="339" spans="1:1" s="536" customFormat="1" x14ac:dyDescent="0.35">
      <c r="A339" s="553"/>
    </row>
    <row r="340" spans="1:1" s="536" customFormat="1" x14ac:dyDescent="0.35">
      <c r="A340" s="553"/>
    </row>
    <row r="341" spans="1:1" s="536" customFormat="1" x14ac:dyDescent="0.35">
      <c r="A341" s="553"/>
    </row>
    <row r="342" spans="1:1" s="536" customFormat="1" x14ac:dyDescent="0.35">
      <c r="A342" s="553"/>
    </row>
    <row r="343" spans="1:1" s="536" customFormat="1" x14ac:dyDescent="0.35">
      <c r="A343" s="553"/>
    </row>
    <row r="344" spans="1:1" s="536" customFormat="1" x14ac:dyDescent="0.35">
      <c r="A344" s="553"/>
    </row>
    <row r="345" spans="1:1" s="536" customFormat="1" x14ac:dyDescent="0.35">
      <c r="A345" s="553"/>
    </row>
    <row r="346" spans="1:1" s="536" customFormat="1" x14ac:dyDescent="0.35">
      <c r="A346" s="553"/>
    </row>
    <row r="347" spans="1:1" s="536" customFormat="1" x14ac:dyDescent="0.35">
      <c r="A347" s="553"/>
    </row>
    <row r="348" spans="1:1" s="536" customFormat="1" x14ac:dyDescent="0.35">
      <c r="A348" s="553"/>
    </row>
    <row r="349" spans="1:1" s="536" customFormat="1" x14ac:dyDescent="0.35">
      <c r="A349" s="553"/>
    </row>
    <row r="350" spans="1:1" s="536" customFormat="1" x14ac:dyDescent="0.35">
      <c r="A350" s="553"/>
    </row>
    <row r="351" spans="1:1" s="536" customFormat="1" x14ac:dyDescent="0.35">
      <c r="A351" s="553"/>
    </row>
    <row r="352" spans="1:1" s="536" customFormat="1" x14ac:dyDescent="0.35">
      <c r="A352" s="553"/>
    </row>
    <row r="353" spans="1:1" s="536" customFormat="1" x14ac:dyDescent="0.35">
      <c r="A353" s="553"/>
    </row>
    <row r="354" spans="1:1" s="536" customFormat="1" x14ac:dyDescent="0.35">
      <c r="A354" s="553"/>
    </row>
    <row r="355" spans="1:1" s="536" customFormat="1" x14ac:dyDescent="0.35">
      <c r="A355" s="553"/>
    </row>
    <row r="356" spans="1:1" s="536" customFormat="1" x14ac:dyDescent="0.35">
      <c r="A356" s="553"/>
    </row>
    <row r="357" spans="1:1" s="536" customFormat="1" x14ac:dyDescent="0.35">
      <c r="A357" s="553"/>
    </row>
    <row r="358" spans="1:1" s="536" customFormat="1" x14ac:dyDescent="0.35">
      <c r="A358" s="553"/>
    </row>
    <row r="359" spans="1:1" s="536" customFormat="1" x14ac:dyDescent="0.35">
      <c r="A359" s="553"/>
    </row>
    <row r="360" spans="1:1" s="536" customFormat="1" x14ac:dyDescent="0.35">
      <c r="A360" s="553"/>
    </row>
    <row r="361" spans="1:1" s="536" customFormat="1" x14ac:dyDescent="0.35">
      <c r="A361" s="553"/>
    </row>
    <row r="362" spans="1:1" s="536" customFormat="1" x14ac:dyDescent="0.35">
      <c r="A362" s="553"/>
    </row>
    <row r="363" spans="1:1" s="536" customFormat="1" x14ac:dyDescent="0.35">
      <c r="A363" s="553"/>
    </row>
    <row r="364" spans="1:1" s="536" customFormat="1" x14ac:dyDescent="0.35">
      <c r="A364" s="553"/>
    </row>
    <row r="365" spans="1:1" s="536" customFormat="1" x14ac:dyDescent="0.35">
      <c r="A365" s="553"/>
    </row>
    <row r="366" spans="1:1" s="536" customFormat="1" x14ac:dyDescent="0.35">
      <c r="A366" s="553"/>
    </row>
    <row r="367" spans="1:1" s="536" customFormat="1" x14ac:dyDescent="0.35">
      <c r="A367" s="553"/>
    </row>
    <row r="368" spans="1:1" s="536" customFormat="1" x14ac:dyDescent="0.35">
      <c r="A368" s="553"/>
    </row>
    <row r="369" spans="1:1" s="536" customFormat="1" x14ac:dyDescent="0.35">
      <c r="A369" s="553"/>
    </row>
    <row r="370" spans="1:1" s="536" customFormat="1" x14ac:dyDescent="0.35">
      <c r="A370" s="553"/>
    </row>
    <row r="371" spans="1:1" s="536" customFormat="1" x14ac:dyDescent="0.35">
      <c r="A371" s="553"/>
    </row>
    <row r="372" spans="1:1" s="536" customFormat="1" x14ac:dyDescent="0.35">
      <c r="A372" s="553"/>
    </row>
    <row r="373" spans="1:1" s="536" customFormat="1" x14ac:dyDescent="0.35">
      <c r="A373" s="553"/>
    </row>
    <row r="374" spans="1:1" s="536" customFormat="1" x14ac:dyDescent="0.35">
      <c r="A374" s="553"/>
    </row>
    <row r="375" spans="1:1" s="536" customFormat="1" x14ac:dyDescent="0.35">
      <c r="A375" s="553"/>
    </row>
    <row r="376" spans="1:1" s="536" customFormat="1" x14ac:dyDescent="0.35">
      <c r="A376" s="553"/>
    </row>
    <row r="377" spans="1:1" s="536" customFormat="1" x14ac:dyDescent="0.35">
      <c r="A377" s="553"/>
    </row>
    <row r="378" spans="1:1" s="536" customFormat="1" x14ac:dyDescent="0.35">
      <c r="A378" s="553"/>
    </row>
    <row r="379" spans="1:1" s="536" customFormat="1" x14ac:dyDescent="0.35">
      <c r="A379" s="553"/>
    </row>
    <row r="380" spans="1:1" s="536" customFormat="1" x14ac:dyDescent="0.35">
      <c r="A380" s="553"/>
    </row>
    <row r="381" spans="1:1" s="536" customFormat="1" x14ac:dyDescent="0.35">
      <c r="A381" s="553"/>
    </row>
    <row r="382" spans="1:1" s="536" customFormat="1" x14ac:dyDescent="0.35">
      <c r="A382" s="553"/>
    </row>
    <row r="383" spans="1:1" s="536" customFormat="1" x14ac:dyDescent="0.35">
      <c r="A383" s="553"/>
    </row>
    <row r="384" spans="1:1" s="536" customFormat="1" x14ac:dyDescent="0.35">
      <c r="A384" s="553"/>
    </row>
    <row r="385" spans="1:1" s="536" customFormat="1" x14ac:dyDescent="0.35">
      <c r="A385" s="553"/>
    </row>
    <row r="386" spans="1:1" s="536" customFormat="1" x14ac:dyDescent="0.35">
      <c r="A386" s="553"/>
    </row>
    <row r="387" spans="1:1" s="536" customFormat="1" x14ac:dyDescent="0.35">
      <c r="A387" s="553"/>
    </row>
    <row r="388" spans="1:1" s="536" customFormat="1" x14ac:dyDescent="0.35">
      <c r="A388" s="553"/>
    </row>
    <row r="389" spans="1:1" s="536" customFormat="1" x14ac:dyDescent="0.35">
      <c r="A389" s="553"/>
    </row>
    <row r="390" spans="1:1" s="536" customFormat="1" x14ac:dyDescent="0.35">
      <c r="A390" s="553"/>
    </row>
    <row r="391" spans="1:1" s="536" customFormat="1" x14ac:dyDescent="0.35">
      <c r="A391" s="553"/>
    </row>
    <row r="392" spans="1:1" s="536" customFormat="1" x14ac:dyDescent="0.35">
      <c r="A392" s="553"/>
    </row>
    <row r="393" spans="1:1" s="536" customFormat="1" x14ac:dyDescent="0.35">
      <c r="A393" s="553"/>
    </row>
    <row r="394" spans="1:1" s="536" customFormat="1" x14ac:dyDescent="0.35">
      <c r="A394" s="553"/>
    </row>
    <row r="395" spans="1:1" s="536" customFormat="1" x14ac:dyDescent="0.35">
      <c r="A395" s="553"/>
    </row>
    <row r="396" spans="1:1" s="536" customFormat="1" x14ac:dyDescent="0.35">
      <c r="A396" s="553"/>
    </row>
    <row r="397" spans="1:1" s="536" customFormat="1" x14ac:dyDescent="0.35">
      <c r="A397" s="553"/>
    </row>
    <row r="398" spans="1:1" s="536" customFormat="1" x14ac:dyDescent="0.35">
      <c r="A398" s="553"/>
    </row>
    <row r="399" spans="1:1" s="536" customFormat="1" x14ac:dyDescent="0.35">
      <c r="A399" s="553"/>
    </row>
    <row r="400" spans="1:1" s="536" customFormat="1" x14ac:dyDescent="0.35">
      <c r="A400" s="553"/>
    </row>
    <row r="401" spans="1:1" s="536" customFormat="1" x14ac:dyDescent="0.35">
      <c r="A401" s="553"/>
    </row>
    <row r="402" spans="1:1" s="536" customFormat="1" x14ac:dyDescent="0.35">
      <c r="A402" s="553"/>
    </row>
    <row r="403" spans="1:1" s="536" customFormat="1" x14ac:dyDescent="0.35">
      <c r="A403" s="553"/>
    </row>
    <row r="404" spans="1:1" s="536" customFormat="1" x14ac:dyDescent="0.35">
      <c r="A404" s="553"/>
    </row>
    <row r="405" spans="1:1" s="536" customFormat="1" x14ac:dyDescent="0.35">
      <c r="A405" s="553"/>
    </row>
    <row r="406" spans="1:1" s="536" customFormat="1" x14ac:dyDescent="0.35">
      <c r="A406" s="553"/>
    </row>
    <row r="407" spans="1:1" s="536" customFormat="1" x14ac:dyDescent="0.35">
      <c r="A407" s="553"/>
    </row>
    <row r="408" spans="1:1" s="536" customFormat="1" x14ac:dyDescent="0.35">
      <c r="A408" s="553"/>
    </row>
    <row r="409" spans="1:1" s="536" customFormat="1" x14ac:dyDescent="0.35">
      <c r="A409" s="553"/>
    </row>
    <row r="410" spans="1:1" s="536" customFormat="1" x14ac:dyDescent="0.35">
      <c r="A410" s="553"/>
    </row>
    <row r="411" spans="1:1" s="536" customFormat="1" x14ac:dyDescent="0.35">
      <c r="A411" s="553"/>
    </row>
    <row r="412" spans="1:1" s="536" customFormat="1" x14ac:dyDescent="0.35">
      <c r="A412" s="553"/>
    </row>
    <row r="413" spans="1:1" s="536" customFormat="1" x14ac:dyDescent="0.35">
      <c r="A413" s="553"/>
    </row>
    <row r="414" spans="1:1" s="536" customFormat="1" x14ac:dyDescent="0.35">
      <c r="A414" s="553"/>
    </row>
    <row r="415" spans="1:1" s="536" customFormat="1" x14ac:dyDescent="0.35">
      <c r="A415" s="553"/>
    </row>
    <row r="416" spans="1:1" s="536" customFormat="1" x14ac:dyDescent="0.35">
      <c r="A416" s="553"/>
    </row>
    <row r="417" spans="1:1" s="536" customFormat="1" x14ac:dyDescent="0.35">
      <c r="A417" s="553"/>
    </row>
    <row r="418" spans="1:1" s="536" customFormat="1" x14ac:dyDescent="0.35">
      <c r="A418" s="553"/>
    </row>
    <row r="419" spans="1:1" s="536" customFormat="1" x14ac:dyDescent="0.35">
      <c r="A419" s="553"/>
    </row>
    <row r="420" spans="1:1" s="536" customFormat="1" x14ac:dyDescent="0.35">
      <c r="A420" s="553"/>
    </row>
    <row r="421" spans="1:1" s="536" customFormat="1" x14ac:dyDescent="0.35">
      <c r="A421" s="553"/>
    </row>
    <row r="422" spans="1:1" s="536" customFormat="1" x14ac:dyDescent="0.35">
      <c r="A422" s="553"/>
    </row>
    <row r="423" spans="1:1" s="536" customFormat="1" x14ac:dyDescent="0.35">
      <c r="A423" s="553"/>
    </row>
    <row r="424" spans="1:1" s="536" customFormat="1" x14ac:dyDescent="0.35">
      <c r="A424" s="553"/>
    </row>
    <row r="425" spans="1:1" s="536" customFormat="1" x14ac:dyDescent="0.35">
      <c r="A425" s="553"/>
    </row>
    <row r="426" spans="1:1" s="536" customFormat="1" x14ac:dyDescent="0.35">
      <c r="A426" s="553"/>
    </row>
    <row r="427" spans="1:1" s="536" customFormat="1" x14ac:dyDescent="0.35">
      <c r="A427" s="553"/>
    </row>
    <row r="428" spans="1:1" s="536" customFormat="1" x14ac:dyDescent="0.35">
      <c r="A428" s="553"/>
    </row>
    <row r="429" spans="1:1" s="536" customFormat="1" x14ac:dyDescent="0.35">
      <c r="A429" s="553"/>
    </row>
    <row r="430" spans="1:1" s="536" customFormat="1" x14ac:dyDescent="0.35">
      <c r="A430" s="553"/>
    </row>
    <row r="431" spans="1:1" s="536" customFormat="1" x14ac:dyDescent="0.35">
      <c r="A431" s="553"/>
    </row>
    <row r="432" spans="1:1" s="536" customFormat="1" x14ac:dyDescent="0.35">
      <c r="A432" s="553"/>
    </row>
    <row r="433" spans="1:1" s="536" customFormat="1" x14ac:dyDescent="0.35">
      <c r="A433" s="553"/>
    </row>
    <row r="434" spans="1:1" s="536" customFormat="1" x14ac:dyDescent="0.35">
      <c r="A434" s="553"/>
    </row>
    <row r="435" spans="1:1" s="536" customFormat="1" x14ac:dyDescent="0.35">
      <c r="A435" s="553"/>
    </row>
    <row r="436" spans="1:1" s="536" customFormat="1" x14ac:dyDescent="0.35">
      <c r="A436" s="553"/>
    </row>
    <row r="437" spans="1:1" s="536" customFormat="1" x14ac:dyDescent="0.35">
      <c r="A437" s="553"/>
    </row>
    <row r="438" spans="1:1" s="536" customFormat="1" x14ac:dyDescent="0.35">
      <c r="A438" s="553"/>
    </row>
    <row r="439" spans="1:1" s="536" customFormat="1" x14ac:dyDescent="0.35">
      <c r="A439" s="553"/>
    </row>
    <row r="440" spans="1:1" s="536" customFormat="1" x14ac:dyDescent="0.35">
      <c r="A440" s="553"/>
    </row>
    <row r="441" spans="1:1" s="536" customFormat="1" x14ac:dyDescent="0.35">
      <c r="A441" s="553"/>
    </row>
    <row r="442" spans="1:1" s="536" customFormat="1" x14ac:dyDescent="0.35">
      <c r="A442" s="553"/>
    </row>
    <row r="443" spans="1:1" s="536" customFormat="1" x14ac:dyDescent="0.35">
      <c r="A443" s="553"/>
    </row>
    <row r="444" spans="1:1" s="536" customFormat="1" x14ac:dyDescent="0.35">
      <c r="A444" s="553"/>
    </row>
    <row r="445" spans="1:1" s="536" customFormat="1" x14ac:dyDescent="0.35">
      <c r="A445" s="553"/>
    </row>
    <row r="446" spans="1:1" s="536" customFormat="1" x14ac:dyDescent="0.35">
      <c r="A446" s="553"/>
    </row>
    <row r="447" spans="1:1" s="536" customFormat="1" x14ac:dyDescent="0.35">
      <c r="A447" s="553"/>
    </row>
    <row r="448" spans="1:1" s="536" customFormat="1" x14ac:dyDescent="0.35">
      <c r="A448" s="553"/>
    </row>
    <row r="449" spans="1:1" s="536" customFormat="1" x14ac:dyDescent="0.35">
      <c r="A449" s="553"/>
    </row>
    <row r="450" spans="1:1" s="536" customFormat="1" x14ac:dyDescent="0.35">
      <c r="A450" s="553"/>
    </row>
    <row r="451" spans="1:1" s="536" customFormat="1" x14ac:dyDescent="0.35">
      <c r="A451" s="553"/>
    </row>
  </sheetData>
  <sheetProtection selectLockedCells="1"/>
  <mergeCells count="61">
    <mergeCell ref="A23:A24"/>
    <mergeCell ref="B23:B24"/>
    <mergeCell ref="C23:C24"/>
    <mergeCell ref="D23:D24"/>
    <mergeCell ref="M23:M24"/>
    <mergeCell ref="A19:A20"/>
    <mergeCell ref="B19:B20"/>
    <mergeCell ref="C19:C20"/>
    <mergeCell ref="D19:D20"/>
    <mergeCell ref="M19:M20"/>
    <mergeCell ref="A21:A22"/>
    <mergeCell ref="B21:B22"/>
    <mergeCell ref="C21:C22"/>
    <mergeCell ref="D21:D22"/>
    <mergeCell ref="M21:M22"/>
    <mergeCell ref="A15:A16"/>
    <mergeCell ref="B15:B16"/>
    <mergeCell ref="C15:C16"/>
    <mergeCell ref="D15:D16"/>
    <mergeCell ref="M15:M16"/>
    <mergeCell ref="A17:A18"/>
    <mergeCell ref="B17:B18"/>
    <mergeCell ref="C17:C18"/>
    <mergeCell ref="D17:D18"/>
    <mergeCell ref="M17:M18"/>
    <mergeCell ref="A11:A12"/>
    <mergeCell ref="B11:B12"/>
    <mergeCell ref="C11:C12"/>
    <mergeCell ref="D11:D12"/>
    <mergeCell ref="M11:M12"/>
    <mergeCell ref="A13:A14"/>
    <mergeCell ref="B13:B14"/>
    <mergeCell ref="C13:C14"/>
    <mergeCell ref="D13:D14"/>
    <mergeCell ref="M13:M14"/>
    <mergeCell ref="M7:M8"/>
    <mergeCell ref="A9:A10"/>
    <mergeCell ref="B9:B10"/>
    <mergeCell ref="C9:C10"/>
    <mergeCell ref="D9:D10"/>
    <mergeCell ref="M9:M10"/>
    <mergeCell ref="A5:A6"/>
    <mergeCell ref="B5:B6"/>
    <mergeCell ref="C5:C6"/>
    <mergeCell ref="D5:D6"/>
    <mergeCell ref="A7:A8"/>
    <mergeCell ref="B7:B8"/>
    <mergeCell ref="C7:C8"/>
    <mergeCell ref="D7:D8"/>
    <mergeCell ref="M1:M2"/>
    <mergeCell ref="A3:A4"/>
    <mergeCell ref="B3:B4"/>
    <mergeCell ref="C3:C4"/>
    <mergeCell ref="D3:D4"/>
    <mergeCell ref="M3:M4"/>
    <mergeCell ref="A1:A2"/>
    <mergeCell ref="B1:B2"/>
    <mergeCell ref="C1:C2"/>
    <mergeCell ref="D1:D2"/>
    <mergeCell ref="E1:I1"/>
    <mergeCell ref="J1:L1"/>
  </mergeCells>
  <pageMargins left="0.59055118110236227" right="0.59055118110236227" top="0.94488188976377963" bottom="0.86614173228346458" header="0.31496062992125984" footer="0.31496062992125984"/>
  <pageSetup scale="45" fitToHeight="0" orientation="landscape" horizontalDpi="1200" verticalDpi="1200" r:id="rId1"/>
  <headerFooter>
    <oddHeader>&amp;L&amp;"Palatino Linotype,Negrita"&amp;18
Componente 6: Desarrollo y sofisticación de producto&amp;C&amp;"Palatino Linotype,Negrita"&amp;24Programa Fábricas de Productividad
&amp;20Guía para el diagnóstico general de la Empresa&amp;R&amp;G</oddHeader>
    <oddFooter>&amp;L&amp;"Palatino Linotype,Normal"&amp;G
&amp;"Palatino Linotype,Cursiva"© Colombia Productiva &amp;C&amp;"Palatino Linotype,Negrita"&amp;18&amp;G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3" manualBreakCount="3">
    <brk id="14" max="12" man="1"/>
    <brk id="22" max="12" man="1"/>
    <brk id="69" max="12" man="1"/>
  </rowBreaks>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FFE7-AB41-45B0-B4B8-AAE37CCBFF8E}">
  <sheetPr>
    <tabColor theme="4" tint="-0.249977111117893"/>
  </sheetPr>
  <dimension ref="A1:M343"/>
  <sheetViews>
    <sheetView showGridLines="0" zoomScale="50" zoomScaleNormal="50" zoomScaleSheetLayoutView="85" zoomScalePageLayoutView="55" workbookViewId="0">
      <selection activeCell="J2" sqref="J2:L2"/>
    </sheetView>
  </sheetViews>
  <sheetFormatPr baseColWidth="10" defaultColWidth="2.26953125" defaultRowHeight="17" x14ac:dyDescent="0.45"/>
  <cols>
    <col min="1" max="1" width="4.7265625" style="571" customWidth="1"/>
    <col min="2" max="2" width="17.453125" style="296" customWidth="1"/>
    <col min="3" max="3" width="19.453125" style="296" customWidth="1"/>
    <col min="4" max="4" width="20" style="296" customWidth="1"/>
    <col min="5" max="9" width="27.1796875" style="296" customWidth="1"/>
    <col min="10" max="12" width="10" style="296" customWidth="1"/>
    <col min="13" max="13" width="50.26953125" style="296" customWidth="1"/>
    <col min="14" max="16384" width="2.26953125" style="296"/>
  </cols>
  <sheetData>
    <row r="1" spans="1:13" ht="39.65" customHeight="1" x14ac:dyDescent="0.45">
      <c r="A1" s="940" t="s">
        <v>20</v>
      </c>
      <c r="B1" s="941" t="s">
        <v>21</v>
      </c>
      <c r="C1" s="941" t="s">
        <v>22</v>
      </c>
      <c r="D1" s="941" t="s">
        <v>23</v>
      </c>
      <c r="E1" s="942" t="s">
        <v>24</v>
      </c>
      <c r="F1" s="942"/>
      <c r="G1" s="942"/>
      <c r="H1" s="942"/>
      <c r="I1" s="942"/>
      <c r="J1" s="915" t="s">
        <v>25</v>
      </c>
      <c r="K1" s="915"/>
      <c r="L1" s="915"/>
      <c r="M1" s="907" t="str">
        <f>+'3'!M1:M2</f>
        <v>Observaciones generales  y/o afectaciones derivadas de la emergencia sanitaria COVID-19</v>
      </c>
    </row>
    <row r="2" spans="1:13" ht="39.65" customHeight="1" x14ac:dyDescent="0.45">
      <c r="A2" s="940"/>
      <c r="B2" s="941"/>
      <c r="C2" s="941"/>
      <c r="D2" s="941"/>
      <c r="E2" s="503">
        <v>1</v>
      </c>
      <c r="F2" s="504">
        <v>2</v>
      </c>
      <c r="G2" s="505">
        <v>3</v>
      </c>
      <c r="H2" s="506">
        <v>4</v>
      </c>
      <c r="I2" s="507">
        <v>5</v>
      </c>
      <c r="J2" s="772">
        <v>2022</v>
      </c>
      <c r="K2" s="772">
        <v>2023</v>
      </c>
      <c r="L2" s="772">
        <v>2024</v>
      </c>
      <c r="M2" s="907"/>
    </row>
    <row r="3" spans="1:13" s="480" customFormat="1" ht="17.649999999999999" customHeight="1" x14ac:dyDescent="0.35">
      <c r="A3" s="908">
        <v>1</v>
      </c>
      <c r="B3" s="909" t="s">
        <v>516</v>
      </c>
      <c r="C3" s="910" t="s">
        <v>517</v>
      </c>
      <c r="D3" s="910"/>
      <c r="E3" s="598"/>
      <c r="F3" s="598"/>
      <c r="G3" s="598"/>
      <c r="H3" s="598"/>
      <c r="I3" s="598" t="s">
        <v>46</v>
      </c>
      <c r="J3" s="479">
        <v>5</v>
      </c>
      <c r="K3" s="479">
        <v>5</v>
      </c>
      <c r="L3" s="479">
        <v>5</v>
      </c>
      <c r="M3" s="948"/>
    </row>
    <row r="4" spans="1:13" s="480" customFormat="1" ht="107.25" customHeight="1" x14ac:dyDescent="0.35">
      <c r="A4" s="908"/>
      <c r="B4" s="909"/>
      <c r="C4" s="910"/>
      <c r="D4" s="910"/>
      <c r="E4" s="770" t="s">
        <v>518</v>
      </c>
      <c r="F4" s="770" t="s">
        <v>519</v>
      </c>
      <c r="G4" s="770" t="s">
        <v>520</v>
      </c>
      <c r="H4" s="770" t="s">
        <v>521</v>
      </c>
      <c r="I4" s="770" t="s">
        <v>522</v>
      </c>
      <c r="J4" s="481"/>
      <c r="K4" s="481"/>
      <c r="L4" s="481"/>
      <c r="M4" s="948"/>
    </row>
    <row r="5" spans="1:13" s="480" customFormat="1" ht="17.649999999999999" customHeight="1" x14ac:dyDescent="0.35">
      <c r="A5" s="908">
        <v>2</v>
      </c>
      <c r="B5" s="909" t="s">
        <v>523</v>
      </c>
      <c r="C5" s="910" t="s">
        <v>524</v>
      </c>
      <c r="D5" s="991"/>
      <c r="E5" s="598" t="s">
        <v>46</v>
      </c>
      <c r="F5" s="598"/>
      <c r="G5" s="598"/>
      <c r="H5" s="598"/>
      <c r="I5" s="598"/>
      <c r="J5" s="479"/>
      <c r="K5" s="479"/>
      <c r="L5" s="479"/>
      <c r="M5" s="948"/>
    </row>
    <row r="6" spans="1:13" s="480" customFormat="1" ht="147" customHeight="1" x14ac:dyDescent="0.35">
      <c r="A6" s="908"/>
      <c r="B6" s="909"/>
      <c r="C6" s="910"/>
      <c r="D6" s="991"/>
      <c r="E6" s="770" t="s">
        <v>525</v>
      </c>
      <c r="F6" s="770" t="s">
        <v>526</v>
      </c>
      <c r="G6" s="770" t="s">
        <v>527</v>
      </c>
      <c r="H6" s="770" t="s">
        <v>528</v>
      </c>
      <c r="I6" s="770" t="s">
        <v>529</v>
      </c>
      <c r="J6" s="481"/>
      <c r="K6" s="481"/>
      <c r="L6" s="481"/>
      <c r="M6" s="948"/>
    </row>
    <row r="7" spans="1:13" s="480" customFormat="1" ht="17.649999999999999" customHeight="1" x14ac:dyDescent="0.35">
      <c r="A7" s="908">
        <v>3</v>
      </c>
      <c r="B7" s="909" t="s">
        <v>530</v>
      </c>
      <c r="C7" s="910" t="s">
        <v>531</v>
      </c>
      <c r="D7" s="991"/>
      <c r="E7" s="478"/>
      <c r="F7" s="478"/>
      <c r="G7" s="478"/>
      <c r="H7" s="478"/>
      <c r="I7" s="478"/>
      <c r="J7" s="479"/>
      <c r="K7" s="479"/>
      <c r="L7" s="479"/>
      <c r="M7" s="948"/>
    </row>
    <row r="8" spans="1:13" s="480" customFormat="1" ht="154.5" customHeight="1" x14ac:dyDescent="0.35">
      <c r="A8" s="908"/>
      <c r="B8" s="909"/>
      <c r="C8" s="910"/>
      <c r="D8" s="991"/>
      <c r="E8" s="770" t="s">
        <v>532</v>
      </c>
      <c r="F8" s="770" t="s">
        <v>533</v>
      </c>
      <c r="G8" s="770" t="s">
        <v>534</v>
      </c>
      <c r="H8" s="770" t="s">
        <v>535</v>
      </c>
      <c r="I8" s="770" t="s">
        <v>536</v>
      </c>
      <c r="J8" s="481"/>
      <c r="K8" s="481"/>
      <c r="L8" s="481"/>
      <c r="M8" s="948"/>
    </row>
    <row r="9" spans="1:13" s="480" customFormat="1" ht="17.649999999999999" customHeight="1" x14ac:dyDescent="0.35">
      <c r="A9" s="908">
        <v>4</v>
      </c>
      <c r="B9" s="909" t="s">
        <v>537</v>
      </c>
      <c r="C9" s="910" t="s">
        <v>538</v>
      </c>
      <c r="D9" s="910"/>
      <c r="E9" s="598"/>
      <c r="F9" s="598"/>
      <c r="G9" s="598"/>
      <c r="H9" s="598"/>
      <c r="I9" s="598"/>
      <c r="J9" s="479"/>
      <c r="K9" s="479"/>
      <c r="L9" s="479"/>
      <c r="M9" s="948"/>
    </row>
    <row r="10" spans="1:13" s="480" customFormat="1" ht="157.5" customHeight="1" x14ac:dyDescent="0.35">
      <c r="A10" s="908"/>
      <c r="B10" s="909"/>
      <c r="C10" s="910"/>
      <c r="D10" s="910"/>
      <c r="E10" s="770" t="s">
        <v>539</v>
      </c>
      <c r="F10" s="770" t="s">
        <v>540</v>
      </c>
      <c r="G10" s="770" t="s">
        <v>541</v>
      </c>
      <c r="H10" s="770" t="s">
        <v>542</v>
      </c>
      <c r="I10" s="770" t="s">
        <v>543</v>
      </c>
      <c r="J10" s="481"/>
      <c r="K10" s="481"/>
      <c r="L10" s="481"/>
      <c r="M10" s="948"/>
    </row>
    <row r="11" spans="1:13" s="480" customFormat="1" ht="17.649999999999999" customHeight="1" x14ac:dyDescent="0.35">
      <c r="A11" s="908">
        <v>5</v>
      </c>
      <c r="B11" s="909" t="s">
        <v>544</v>
      </c>
      <c r="C11" s="910" t="s">
        <v>545</v>
      </c>
      <c r="D11" s="910"/>
      <c r="E11" s="598"/>
      <c r="F11" s="598"/>
      <c r="G11" s="598"/>
      <c r="H11" s="598"/>
      <c r="I11" s="598"/>
      <c r="J11" s="479"/>
      <c r="K11" s="479"/>
      <c r="L11" s="479"/>
      <c r="M11" s="948"/>
    </row>
    <row r="12" spans="1:13" s="480" customFormat="1" ht="171.75" customHeight="1" x14ac:dyDescent="0.35">
      <c r="A12" s="908"/>
      <c r="B12" s="909"/>
      <c r="C12" s="910"/>
      <c r="D12" s="910"/>
      <c r="E12" s="770" t="s">
        <v>546</v>
      </c>
      <c r="F12" s="770" t="s">
        <v>547</v>
      </c>
      <c r="G12" s="770" t="s">
        <v>548</v>
      </c>
      <c r="H12" s="770" t="s">
        <v>549</v>
      </c>
      <c r="I12" s="770" t="s">
        <v>550</v>
      </c>
      <c r="J12" s="481"/>
      <c r="K12" s="481"/>
      <c r="L12" s="481"/>
      <c r="M12" s="948"/>
    </row>
    <row r="13" spans="1:13" s="480" customFormat="1" ht="17.649999999999999" customHeight="1" x14ac:dyDescent="0.35">
      <c r="A13" s="908">
        <v>6</v>
      </c>
      <c r="B13" s="909" t="s">
        <v>551</v>
      </c>
      <c r="C13" s="910" t="s">
        <v>552</v>
      </c>
      <c r="D13" s="910" t="s">
        <v>553</v>
      </c>
      <c r="E13" s="478"/>
      <c r="F13" s="478"/>
      <c r="G13" s="478"/>
      <c r="H13" s="478"/>
      <c r="I13" s="478"/>
      <c r="J13" s="479"/>
      <c r="K13" s="479"/>
      <c r="L13" s="479"/>
      <c r="M13" s="948"/>
    </row>
    <row r="14" spans="1:13" s="480" customFormat="1" ht="240.75" customHeight="1" x14ac:dyDescent="0.35">
      <c r="A14" s="908"/>
      <c r="B14" s="909"/>
      <c r="C14" s="910"/>
      <c r="D14" s="910"/>
      <c r="E14" s="770" t="s">
        <v>554</v>
      </c>
      <c r="F14" s="770" t="s">
        <v>555</v>
      </c>
      <c r="G14" s="770" t="s">
        <v>556</v>
      </c>
      <c r="H14" s="770" t="s">
        <v>557</v>
      </c>
      <c r="I14" s="782" t="s">
        <v>558</v>
      </c>
      <c r="J14" s="481"/>
      <c r="K14" s="481"/>
      <c r="L14" s="481"/>
      <c r="M14" s="948"/>
    </row>
    <row r="15" spans="1:13" s="480" customFormat="1" ht="17.649999999999999" customHeight="1" x14ac:dyDescent="0.35">
      <c r="A15" s="908">
        <v>7</v>
      </c>
      <c r="B15" s="909" t="s">
        <v>559</v>
      </c>
      <c r="C15" s="910" t="s">
        <v>560</v>
      </c>
      <c r="D15" s="992"/>
      <c r="E15" s="478"/>
      <c r="F15" s="478"/>
      <c r="G15" s="478"/>
      <c r="H15" s="478"/>
      <c r="I15" s="478"/>
      <c r="J15" s="479"/>
      <c r="K15" s="479"/>
      <c r="L15" s="479"/>
      <c r="M15" s="948"/>
    </row>
    <row r="16" spans="1:13" s="480" customFormat="1" ht="99" customHeight="1" x14ac:dyDescent="0.35">
      <c r="A16" s="908"/>
      <c r="B16" s="909"/>
      <c r="C16" s="910"/>
      <c r="D16" s="992"/>
      <c r="E16" s="770" t="s">
        <v>561</v>
      </c>
      <c r="F16" s="770" t="s">
        <v>562</v>
      </c>
      <c r="G16" s="770" t="s">
        <v>563</v>
      </c>
      <c r="H16" s="770" t="s">
        <v>564</v>
      </c>
      <c r="I16" s="526" t="s">
        <v>565</v>
      </c>
      <c r="J16" s="481"/>
      <c r="K16" s="481"/>
      <c r="L16" s="481"/>
      <c r="M16" s="948"/>
    </row>
    <row r="17" spans="1:13" s="480" customFormat="1" ht="17.649999999999999" customHeight="1" x14ac:dyDescent="0.35">
      <c r="A17" s="908">
        <v>8</v>
      </c>
      <c r="B17" s="909" t="s">
        <v>566</v>
      </c>
      <c r="C17" s="910" t="s">
        <v>567</v>
      </c>
      <c r="D17" s="910"/>
      <c r="E17" s="478"/>
      <c r="F17" s="478"/>
      <c r="G17" s="478"/>
      <c r="H17" s="478"/>
      <c r="I17" s="478"/>
      <c r="J17" s="479"/>
      <c r="K17" s="479"/>
      <c r="L17" s="479"/>
      <c r="M17" s="948"/>
    </row>
    <row r="18" spans="1:13" s="480" customFormat="1" ht="73.900000000000006" customHeight="1" x14ac:dyDescent="0.35">
      <c r="A18" s="908"/>
      <c r="B18" s="909"/>
      <c r="C18" s="910"/>
      <c r="D18" s="910"/>
      <c r="E18" s="770" t="s">
        <v>561</v>
      </c>
      <c r="F18" s="770" t="s">
        <v>568</v>
      </c>
      <c r="G18" s="770" t="s">
        <v>569</v>
      </c>
      <c r="H18" s="770" t="s">
        <v>570</v>
      </c>
      <c r="I18" s="770" t="s">
        <v>571</v>
      </c>
      <c r="J18" s="481"/>
      <c r="K18" s="481"/>
      <c r="L18" s="481"/>
      <c r="M18" s="948"/>
    </row>
    <row r="19" spans="1:13" s="480" customFormat="1" ht="17.649999999999999" customHeight="1" x14ac:dyDescent="0.35">
      <c r="A19" s="908">
        <v>9</v>
      </c>
      <c r="B19" s="909" t="s">
        <v>572</v>
      </c>
      <c r="C19" s="910" t="s">
        <v>573</v>
      </c>
      <c r="D19" s="910"/>
      <c r="E19" s="478"/>
      <c r="F19" s="478"/>
      <c r="G19" s="478"/>
      <c r="H19" s="478"/>
      <c r="I19" s="478"/>
      <c r="J19" s="479"/>
      <c r="K19" s="479"/>
      <c r="L19" s="479"/>
      <c r="M19" s="948"/>
    </row>
    <row r="20" spans="1:13" s="480" customFormat="1" ht="114" customHeight="1" x14ac:dyDescent="0.35">
      <c r="A20" s="908"/>
      <c r="B20" s="909"/>
      <c r="C20" s="910"/>
      <c r="D20" s="910"/>
      <c r="E20" s="770" t="s">
        <v>574</v>
      </c>
      <c r="F20" s="770" t="s">
        <v>575</v>
      </c>
      <c r="G20" s="770" t="s">
        <v>576</v>
      </c>
      <c r="H20" s="770" t="s">
        <v>577</v>
      </c>
      <c r="I20" s="770" t="s">
        <v>578</v>
      </c>
      <c r="J20" s="481"/>
      <c r="K20" s="481"/>
      <c r="L20" s="481"/>
      <c r="M20" s="948"/>
    </row>
    <row r="21" spans="1:13" s="480" customFormat="1" ht="17.649999999999999" customHeight="1" x14ac:dyDescent="0.35">
      <c r="A21" s="908">
        <v>10</v>
      </c>
      <c r="B21" s="909" t="s">
        <v>579</v>
      </c>
      <c r="C21" s="910" t="s">
        <v>580</v>
      </c>
      <c r="D21" s="910"/>
      <c r="E21" s="478"/>
      <c r="F21" s="478"/>
      <c r="G21" s="478"/>
      <c r="H21" s="478"/>
      <c r="I21" s="478"/>
      <c r="J21" s="479"/>
      <c r="K21" s="479"/>
      <c r="L21" s="479"/>
      <c r="M21" s="948"/>
    </row>
    <row r="22" spans="1:13" s="480" customFormat="1" ht="176.25" customHeight="1" x14ac:dyDescent="0.35">
      <c r="A22" s="908"/>
      <c r="B22" s="909"/>
      <c r="C22" s="910"/>
      <c r="D22" s="910"/>
      <c r="E22" s="770" t="s">
        <v>581</v>
      </c>
      <c r="F22" s="770" t="s">
        <v>582</v>
      </c>
      <c r="G22" s="770" t="s">
        <v>583</v>
      </c>
      <c r="H22" s="770" t="s">
        <v>584</v>
      </c>
      <c r="I22" s="770" t="s">
        <v>585</v>
      </c>
      <c r="J22" s="481"/>
      <c r="K22" s="481"/>
      <c r="L22" s="481"/>
      <c r="M22" s="948"/>
    </row>
    <row r="23" spans="1:13" s="498" customFormat="1" ht="15.5" x14ac:dyDescent="0.35">
      <c r="A23" s="593"/>
      <c r="B23" s="594"/>
      <c r="C23" s="594"/>
      <c r="D23" s="594"/>
      <c r="E23" s="594"/>
      <c r="F23" s="594"/>
      <c r="G23" s="594"/>
      <c r="H23" s="594"/>
      <c r="I23" s="594"/>
      <c r="J23" s="594"/>
      <c r="K23" s="594"/>
      <c r="L23" s="594"/>
      <c r="M23" s="595"/>
    </row>
    <row r="24" spans="1:13" s="498" customFormat="1" ht="15.5" x14ac:dyDescent="0.35">
      <c r="A24" s="495"/>
      <c r="M24" s="499"/>
    </row>
    <row r="25" spans="1:13" s="498" customFormat="1" x14ac:dyDescent="0.45">
      <c r="A25" s="495"/>
      <c r="B25" s="596" t="s">
        <v>74</v>
      </c>
      <c r="M25" s="499"/>
    </row>
    <row r="26" spans="1:13" s="498" customFormat="1" ht="15.5" x14ac:dyDescent="0.35">
      <c r="A26" s="495"/>
      <c r="M26" s="499"/>
    </row>
    <row r="27" spans="1:13" s="498" customFormat="1" ht="15.5" x14ac:dyDescent="0.35">
      <c r="A27" s="495"/>
      <c r="M27" s="499"/>
    </row>
    <row r="28" spans="1:13" s="498" customFormat="1" ht="15.5" x14ac:dyDescent="0.35">
      <c r="A28" s="495"/>
      <c r="M28" s="499"/>
    </row>
    <row r="29" spans="1:13" s="498" customFormat="1" ht="15.5" x14ac:dyDescent="0.35">
      <c r="A29" s="495"/>
      <c r="M29" s="499"/>
    </row>
    <row r="30" spans="1:13" s="498" customFormat="1" ht="15.5" x14ac:dyDescent="0.35">
      <c r="A30" s="495"/>
      <c r="M30" s="499"/>
    </row>
    <row r="31" spans="1:13" s="498" customFormat="1" ht="15.5" x14ac:dyDescent="0.35">
      <c r="A31" s="495"/>
      <c r="M31" s="499"/>
    </row>
    <row r="32" spans="1:13" s="498" customFormat="1" ht="15.5" x14ac:dyDescent="0.35">
      <c r="A32" s="495"/>
      <c r="M32" s="499"/>
    </row>
    <row r="33" spans="1:13" s="498" customFormat="1" ht="15.5" x14ac:dyDescent="0.35">
      <c r="A33" s="495"/>
      <c r="M33" s="499"/>
    </row>
    <row r="34" spans="1:13" s="498" customFormat="1" ht="15.5" x14ac:dyDescent="0.35">
      <c r="A34" s="495"/>
      <c r="M34" s="499"/>
    </row>
    <row r="35" spans="1:13" s="498" customFormat="1" ht="15.5" x14ac:dyDescent="0.35">
      <c r="A35" s="495"/>
      <c r="M35" s="499"/>
    </row>
    <row r="36" spans="1:13" s="498" customFormat="1" ht="15.5" x14ac:dyDescent="0.35">
      <c r="A36" s="495"/>
      <c r="M36" s="499"/>
    </row>
    <row r="37" spans="1:13" s="498" customFormat="1" ht="15.5" x14ac:dyDescent="0.35">
      <c r="A37" s="495"/>
      <c r="M37" s="499"/>
    </row>
    <row r="38" spans="1:13" s="498" customFormat="1" ht="15.5" x14ac:dyDescent="0.35">
      <c r="A38" s="495"/>
      <c r="M38" s="499"/>
    </row>
    <row r="39" spans="1:13" s="498" customFormat="1" ht="15.5" x14ac:dyDescent="0.35">
      <c r="A39" s="495"/>
      <c r="M39" s="499"/>
    </row>
    <row r="40" spans="1:13" s="498" customFormat="1" ht="15.5" x14ac:dyDescent="0.35">
      <c r="A40" s="495"/>
      <c r="M40" s="499"/>
    </row>
    <row r="41" spans="1:13" s="498" customFormat="1" ht="15.5" x14ac:dyDescent="0.35">
      <c r="A41" s="495"/>
      <c r="M41" s="499"/>
    </row>
    <row r="42" spans="1:13" s="498" customFormat="1" ht="15.5" x14ac:dyDescent="0.35">
      <c r="A42" s="495"/>
      <c r="M42" s="499"/>
    </row>
    <row r="43" spans="1:13" s="498" customFormat="1" ht="15.5" x14ac:dyDescent="0.35">
      <c r="A43" s="495"/>
      <c r="M43" s="499"/>
    </row>
    <row r="44" spans="1:13" s="498" customFormat="1" ht="15.5" x14ac:dyDescent="0.35">
      <c r="A44" s="495"/>
      <c r="M44" s="499"/>
    </row>
    <row r="45" spans="1:13" s="498" customFormat="1" ht="15.5" x14ac:dyDescent="0.35">
      <c r="A45" s="495"/>
      <c r="M45" s="499"/>
    </row>
    <row r="46" spans="1:13" s="498" customFormat="1" ht="15.5" x14ac:dyDescent="0.35">
      <c r="A46" s="495"/>
      <c r="M46" s="499"/>
    </row>
    <row r="47" spans="1:13" s="498" customFormat="1" ht="15.5" x14ac:dyDescent="0.35">
      <c r="A47" s="495"/>
      <c r="M47" s="499"/>
    </row>
    <row r="48" spans="1:13" s="498" customFormat="1" ht="15.5" x14ac:dyDescent="0.35">
      <c r="A48" s="495"/>
      <c r="M48" s="499"/>
    </row>
    <row r="49" spans="1:13" s="498" customFormat="1" ht="15.5" x14ac:dyDescent="0.35">
      <c r="A49" s="564"/>
      <c r="B49" s="565"/>
      <c r="C49" s="565"/>
      <c r="D49" s="565"/>
      <c r="E49" s="565"/>
      <c r="F49" s="565"/>
      <c r="G49" s="565"/>
      <c r="H49" s="565"/>
      <c r="I49" s="565"/>
      <c r="J49" s="565"/>
      <c r="K49" s="565"/>
      <c r="L49" s="565"/>
      <c r="M49" s="566"/>
    </row>
    <row r="50" spans="1:13" s="498" customFormat="1" ht="15.5" x14ac:dyDescent="0.35">
      <c r="A50"/>
      <c r="B50"/>
      <c r="C50"/>
      <c r="D50"/>
      <c r="E50"/>
      <c r="F50"/>
      <c r="G50"/>
      <c r="H50"/>
      <c r="I50"/>
      <c r="J50"/>
      <c r="K50"/>
      <c r="L50"/>
      <c r="M50"/>
    </row>
    <row r="51" spans="1:13" s="498" customFormat="1" ht="15.5" x14ac:dyDescent="0.35">
      <c r="A51"/>
      <c r="B51"/>
      <c r="C51"/>
      <c r="D51"/>
      <c r="E51"/>
      <c r="F51"/>
      <c r="G51"/>
      <c r="H51"/>
      <c r="I51"/>
      <c r="J51"/>
      <c r="K51"/>
      <c r="L51"/>
      <c r="M51"/>
    </row>
    <row r="52" spans="1:13" s="498" customFormat="1" ht="15.5" x14ac:dyDescent="0.35">
      <c r="A52"/>
      <c r="B52"/>
      <c r="C52"/>
      <c r="D52"/>
      <c r="E52"/>
      <c r="F52"/>
      <c r="G52"/>
      <c r="H52"/>
      <c r="I52"/>
      <c r="J52"/>
      <c r="K52"/>
      <c r="L52"/>
      <c r="M52"/>
    </row>
    <row r="53" spans="1:13" s="498" customFormat="1" ht="15.5" x14ac:dyDescent="0.35">
      <c r="A53"/>
      <c r="B53"/>
      <c r="C53"/>
      <c r="D53"/>
      <c r="E53"/>
      <c r="F53"/>
      <c r="G53"/>
      <c r="H53"/>
      <c r="I53"/>
      <c r="J53"/>
      <c r="K53"/>
      <c r="L53"/>
      <c r="M53"/>
    </row>
    <row r="54" spans="1:13" s="498" customFormat="1" ht="15.5" x14ac:dyDescent="0.35">
      <c r="A54"/>
      <c r="B54"/>
      <c r="C54"/>
      <c r="D54"/>
      <c r="E54"/>
      <c r="F54"/>
      <c r="G54"/>
      <c r="H54"/>
      <c r="I54"/>
      <c r="J54"/>
      <c r="K54"/>
      <c r="L54"/>
      <c r="M54"/>
    </row>
    <row r="55" spans="1:13" s="498" customFormat="1" ht="15.5" x14ac:dyDescent="0.35">
      <c r="A55"/>
      <c r="B55"/>
      <c r="C55"/>
      <c r="D55"/>
      <c r="E55"/>
      <c r="F55"/>
      <c r="G55"/>
      <c r="H55"/>
      <c r="I55"/>
      <c r="J55"/>
      <c r="K55"/>
      <c r="L55"/>
      <c r="M55"/>
    </row>
    <row r="56" spans="1:13" s="498" customFormat="1" ht="15.5" x14ac:dyDescent="0.35">
      <c r="A56"/>
      <c r="B56"/>
      <c r="C56"/>
      <c r="D56"/>
      <c r="E56"/>
      <c r="F56"/>
      <c r="G56"/>
      <c r="H56"/>
      <c r="I56"/>
      <c r="J56"/>
      <c r="K56"/>
      <c r="L56"/>
      <c r="M56"/>
    </row>
    <row r="57" spans="1:13" s="498" customFormat="1" ht="15.5" x14ac:dyDescent="0.35">
      <c r="A57"/>
      <c r="B57"/>
      <c r="C57"/>
      <c r="D57"/>
      <c r="E57"/>
      <c r="F57"/>
      <c r="G57"/>
      <c r="H57"/>
      <c r="I57"/>
      <c r="J57"/>
      <c r="K57"/>
      <c r="L57"/>
      <c r="M57"/>
    </row>
    <row r="58" spans="1:13" s="498" customFormat="1" ht="15.5" x14ac:dyDescent="0.35">
      <c r="A58"/>
      <c r="B58"/>
      <c r="C58"/>
      <c r="D58"/>
      <c r="E58"/>
      <c r="F58"/>
      <c r="G58"/>
      <c r="H58"/>
      <c r="I58"/>
      <c r="J58"/>
      <c r="K58"/>
      <c r="L58"/>
      <c r="M58"/>
    </row>
    <row r="59" spans="1:13" s="498" customFormat="1" ht="15.5" x14ac:dyDescent="0.35">
      <c r="A59"/>
      <c r="B59"/>
      <c r="C59"/>
      <c r="D59"/>
      <c r="E59"/>
      <c r="F59"/>
      <c r="G59"/>
      <c r="H59"/>
      <c r="I59"/>
      <c r="J59"/>
      <c r="K59"/>
      <c r="L59"/>
      <c r="M59"/>
    </row>
    <row r="60" spans="1:13" s="498" customFormat="1" ht="15.5" x14ac:dyDescent="0.35">
      <c r="A60"/>
      <c r="B60"/>
      <c r="C60"/>
      <c r="D60"/>
      <c r="E60"/>
      <c r="F60"/>
      <c r="G60"/>
      <c r="H60"/>
      <c r="I60"/>
      <c r="J60"/>
      <c r="K60"/>
      <c r="L60"/>
      <c r="M60"/>
    </row>
    <row r="61" spans="1:13" s="498" customFormat="1" ht="15.5" x14ac:dyDescent="0.35">
      <c r="A61"/>
      <c r="B61"/>
      <c r="C61"/>
      <c r="D61"/>
      <c r="E61"/>
      <c r="F61"/>
      <c r="G61"/>
      <c r="H61"/>
      <c r="I61"/>
      <c r="J61"/>
      <c r="K61"/>
      <c r="L61"/>
      <c r="M61"/>
    </row>
    <row r="62" spans="1:13" s="498" customFormat="1" ht="15.5" x14ac:dyDescent="0.35">
      <c r="A62"/>
      <c r="B62"/>
      <c r="C62"/>
      <c r="D62"/>
      <c r="E62"/>
      <c r="F62"/>
      <c r="G62"/>
      <c r="H62"/>
      <c r="I62"/>
      <c r="J62"/>
      <c r="K62"/>
      <c r="L62"/>
      <c r="M62"/>
    </row>
    <row r="63" spans="1:13" s="498" customFormat="1" ht="15.5" x14ac:dyDescent="0.35">
      <c r="A63"/>
      <c r="B63"/>
      <c r="C63"/>
      <c r="D63"/>
      <c r="E63"/>
      <c r="F63"/>
      <c r="G63"/>
      <c r="H63"/>
      <c r="I63"/>
      <c r="J63"/>
      <c r="K63"/>
      <c r="L63"/>
      <c r="M63"/>
    </row>
    <row r="64" spans="1:13" s="498" customFormat="1" ht="15.5" x14ac:dyDescent="0.35">
      <c r="A64"/>
      <c r="B64"/>
      <c r="C64"/>
      <c r="D64"/>
      <c r="E64"/>
      <c r="F64"/>
      <c r="G64"/>
      <c r="H64"/>
      <c r="I64"/>
      <c r="J64"/>
      <c r="K64"/>
      <c r="L64"/>
      <c r="M64"/>
    </row>
    <row r="65" spans="1:13" s="498" customFormat="1" ht="15.5" x14ac:dyDescent="0.35">
      <c r="A65"/>
      <c r="B65"/>
      <c r="C65"/>
      <c r="D65"/>
      <c r="E65"/>
      <c r="F65"/>
      <c r="G65"/>
      <c r="H65"/>
      <c r="I65"/>
      <c r="J65"/>
      <c r="K65"/>
      <c r="L65"/>
      <c r="M65"/>
    </row>
    <row r="66" spans="1:13" s="498" customFormat="1" ht="15.5" x14ac:dyDescent="0.35">
      <c r="A66"/>
      <c r="B66"/>
      <c r="C66"/>
      <c r="D66"/>
      <c r="E66"/>
      <c r="F66"/>
      <c r="G66"/>
      <c r="H66"/>
      <c r="I66"/>
      <c r="J66"/>
      <c r="K66"/>
      <c r="L66"/>
      <c r="M66"/>
    </row>
    <row r="67" spans="1:13" s="498" customFormat="1" ht="15.5" x14ac:dyDescent="0.35">
      <c r="A67"/>
      <c r="B67"/>
      <c r="C67"/>
      <c r="D67"/>
      <c r="E67"/>
      <c r="F67"/>
      <c r="G67"/>
      <c r="H67"/>
      <c r="I67"/>
      <c r="J67"/>
      <c r="K67"/>
      <c r="L67"/>
      <c r="M67"/>
    </row>
    <row r="68" spans="1:13" s="498" customFormat="1" ht="15.5" x14ac:dyDescent="0.35">
      <c r="A68"/>
      <c r="B68"/>
      <c r="C68"/>
      <c r="D68"/>
      <c r="E68"/>
      <c r="F68"/>
      <c r="G68"/>
      <c r="H68"/>
      <c r="I68"/>
      <c r="J68"/>
      <c r="K68"/>
      <c r="L68"/>
      <c r="M68"/>
    </row>
    <row r="69" spans="1:13" s="498" customFormat="1" ht="15.5" x14ac:dyDescent="0.35">
      <c r="A69"/>
      <c r="B69"/>
      <c r="C69"/>
      <c r="D69"/>
      <c r="E69"/>
      <c r="F69"/>
      <c r="G69"/>
      <c r="H69"/>
      <c r="I69"/>
      <c r="J69"/>
      <c r="K69"/>
      <c r="L69"/>
      <c r="M69"/>
    </row>
    <row r="70" spans="1:13" s="498" customFormat="1" ht="15.5" x14ac:dyDescent="0.35">
      <c r="A70"/>
      <c r="B70"/>
      <c r="C70"/>
      <c r="D70"/>
      <c r="E70"/>
      <c r="F70"/>
      <c r="G70"/>
      <c r="H70"/>
      <c r="I70"/>
      <c r="J70"/>
      <c r="K70"/>
      <c r="L70"/>
      <c r="M70"/>
    </row>
    <row r="71" spans="1:13" s="498" customFormat="1" ht="15.5" x14ac:dyDescent="0.35">
      <c r="A71"/>
      <c r="B71"/>
      <c r="C71"/>
      <c r="D71"/>
      <c r="E71"/>
      <c r="F71"/>
      <c r="G71"/>
      <c r="H71"/>
      <c r="I71"/>
      <c r="J71"/>
      <c r="K71"/>
      <c r="L71"/>
      <c r="M71"/>
    </row>
    <row r="72" spans="1:13" s="498" customFormat="1" ht="15.5" x14ac:dyDescent="0.35">
      <c r="A72"/>
      <c r="B72"/>
      <c r="C72"/>
      <c r="D72"/>
      <c r="E72"/>
      <c r="F72"/>
      <c r="G72"/>
      <c r="H72"/>
      <c r="I72"/>
      <c r="J72"/>
      <c r="K72"/>
      <c r="L72"/>
      <c r="M72"/>
    </row>
    <row r="73" spans="1:13" s="498" customFormat="1" ht="15.5" x14ac:dyDescent="0.35"/>
    <row r="74" spans="1:13" s="498" customFormat="1" ht="15.5" x14ac:dyDescent="0.35"/>
    <row r="75" spans="1:13" s="498" customFormat="1" ht="15.5" x14ac:dyDescent="0.35"/>
    <row r="76" spans="1:13" s="498" customFormat="1" ht="15.5" x14ac:dyDescent="0.35"/>
    <row r="77" spans="1:13" s="498" customFormat="1" ht="15.5" x14ac:dyDescent="0.35"/>
    <row r="78" spans="1:13" s="498" customFormat="1" ht="15.5" x14ac:dyDescent="0.35"/>
    <row r="79" spans="1:13" s="498" customFormat="1" ht="15.5" x14ac:dyDescent="0.35"/>
    <row r="80" spans="1:13" s="498" customFormat="1" ht="15.5" x14ac:dyDescent="0.35"/>
    <row r="81" s="498" customFormat="1" ht="15.5" x14ac:dyDescent="0.35"/>
    <row r="82" s="498" customFormat="1" ht="15.5" x14ac:dyDescent="0.35"/>
    <row r="83" s="498" customFormat="1" ht="15.5" x14ac:dyDescent="0.35"/>
    <row r="84" s="498" customFormat="1" ht="15.5" x14ac:dyDescent="0.35"/>
    <row r="85" s="498" customFormat="1" ht="15.5" x14ac:dyDescent="0.35"/>
    <row r="86" s="498" customFormat="1" ht="15.5" x14ac:dyDescent="0.35"/>
    <row r="87" s="498" customFormat="1" ht="15.5" x14ac:dyDescent="0.35"/>
    <row r="88" s="498" customFormat="1" ht="15.5" x14ac:dyDescent="0.35"/>
    <row r="89" s="498" customFormat="1" ht="15.5" x14ac:dyDescent="0.35"/>
    <row r="90" s="498" customFormat="1" ht="15.5" x14ac:dyDescent="0.35"/>
    <row r="91" s="498" customFormat="1" ht="15.5" x14ac:dyDescent="0.35"/>
    <row r="92" s="498" customFormat="1" ht="15.5" x14ac:dyDescent="0.35"/>
    <row r="93" s="498" customFormat="1" ht="15.5" x14ac:dyDescent="0.35"/>
    <row r="94" s="498" customFormat="1" ht="15.5" x14ac:dyDescent="0.35"/>
    <row r="95" s="498" customFormat="1" ht="15.5" x14ac:dyDescent="0.35"/>
    <row r="96" s="498" customFormat="1" ht="15.5" x14ac:dyDescent="0.35"/>
    <row r="97" s="498" customFormat="1" ht="15.5" x14ac:dyDescent="0.35"/>
    <row r="98" s="498" customFormat="1" ht="15.5" x14ac:dyDescent="0.35"/>
    <row r="99" s="498" customFormat="1" ht="15.5" x14ac:dyDescent="0.35"/>
    <row r="100" s="498" customFormat="1" ht="15.5" x14ac:dyDescent="0.35"/>
    <row r="101" s="498" customFormat="1" ht="15.5" x14ac:dyDescent="0.35"/>
    <row r="102" s="498" customFormat="1" ht="15.5" x14ac:dyDescent="0.35"/>
    <row r="103" s="498" customFormat="1" ht="15.5" x14ac:dyDescent="0.35"/>
    <row r="104" s="498" customFormat="1" ht="15.5" x14ac:dyDescent="0.35"/>
    <row r="105" s="498" customFormat="1" ht="15.5" x14ac:dyDescent="0.35"/>
    <row r="106" s="498" customFormat="1" ht="15.5" x14ac:dyDescent="0.35"/>
    <row r="107" s="498" customFormat="1" ht="15.5" x14ac:dyDescent="0.35"/>
    <row r="108" s="498" customFormat="1" ht="15.5" x14ac:dyDescent="0.35"/>
    <row r="109" s="498" customFormat="1" ht="15.5" x14ac:dyDescent="0.35"/>
    <row r="110" s="498" customFormat="1" ht="15.5" x14ac:dyDescent="0.35"/>
    <row r="111" s="498" customFormat="1" ht="15.5" x14ac:dyDescent="0.35"/>
    <row r="112" s="498" customFormat="1" ht="15.5" x14ac:dyDescent="0.35"/>
    <row r="113" s="498" customFormat="1" ht="15.5" x14ac:dyDescent="0.35"/>
    <row r="114" s="498" customFormat="1" ht="15.5" x14ac:dyDescent="0.35"/>
    <row r="115" s="498" customFormat="1" ht="15.5" x14ac:dyDescent="0.35"/>
    <row r="116" s="498" customFormat="1" ht="15.5" x14ac:dyDescent="0.35"/>
    <row r="117" s="498" customFormat="1" ht="15.5" x14ac:dyDescent="0.35"/>
    <row r="118" s="498" customFormat="1" ht="15.5" x14ac:dyDescent="0.35"/>
    <row r="119" s="498" customFormat="1" ht="15.5" x14ac:dyDescent="0.35"/>
    <row r="120" s="498" customFormat="1" ht="15.5" x14ac:dyDescent="0.35"/>
    <row r="121" s="498" customFormat="1" ht="15.5" x14ac:dyDescent="0.35"/>
    <row r="122" s="498" customFormat="1" ht="15.5" x14ac:dyDescent="0.35"/>
    <row r="123" s="498" customFormat="1" ht="15.5" x14ac:dyDescent="0.35"/>
    <row r="124" s="498" customFormat="1" ht="15.5" x14ac:dyDescent="0.35"/>
    <row r="125" s="498" customFormat="1" ht="15.5" x14ac:dyDescent="0.35"/>
    <row r="126" s="498" customFormat="1" ht="15.5" x14ac:dyDescent="0.35"/>
    <row r="127" s="498" customFormat="1" ht="15.5" x14ac:dyDescent="0.35"/>
    <row r="128" s="498" customFormat="1" ht="15.5" x14ac:dyDescent="0.35"/>
    <row r="129" spans="1:1" s="498" customFormat="1" ht="15.5" x14ac:dyDescent="0.35"/>
    <row r="130" spans="1:1" s="536" customFormat="1" x14ac:dyDescent="0.35">
      <c r="A130" s="553"/>
    </row>
    <row r="131" spans="1:1" s="536" customFormat="1" x14ac:dyDescent="0.35">
      <c r="A131" s="553"/>
    </row>
    <row r="132" spans="1:1" s="536" customFormat="1" x14ac:dyDescent="0.35">
      <c r="A132" s="553"/>
    </row>
    <row r="133" spans="1:1" s="536" customFormat="1" x14ac:dyDescent="0.35">
      <c r="A133" s="553"/>
    </row>
    <row r="134" spans="1:1" s="536" customFormat="1" x14ac:dyDescent="0.35">
      <c r="A134" s="553"/>
    </row>
    <row r="135" spans="1:1" s="536" customFormat="1" x14ac:dyDescent="0.35">
      <c r="A135" s="553"/>
    </row>
    <row r="136" spans="1:1" s="536" customFormat="1" x14ac:dyDescent="0.35">
      <c r="A136" s="553"/>
    </row>
    <row r="137" spans="1:1" s="536" customFormat="1" x14ac:dyDescent="0.35">
      <c r="A137" s="553"/>
    </row>
    <row r="138" spans="1:1" s="536" customFormat="1" x14ac:dyDescent="0.35">
      <c r="A138" s="553"/>
    </row>
    <row r="139" spans="1:1" s="536" customFormat="1" x14ac:dyDescent="0.35">
      <c r="A139" s="553"/>
    </row>
    <row r="140" spans="1:1" s="536" customFormat="1" x14ac:dyDescent="0.35">
      <c r="A140" s="553"/>
    </row>
    <row r="141" spans="1:1" s="536" customFormat="1" x14ac:dyDescent="0.35">
      <c r="A141" s="553"/>
    </row>
    <row r="142" spans="1:1" s="536" customFormat="1" x14ac:dyDescent="0.35">
      <c r="A142" s="553"/>
    </row>
    <row r="143" spans="1:1" s="536" customFormat="1" x14ac:dyDescent="0.35">
      <c r="A143" s="553"/>
    </row>
    <row r="144" spans="1:1" s="536" customFormat="1" x14ac:dyDescent="0.35">
      <c r="A144" s="553"/>
    </row>
    <row r="145" spans="1:1" s="536" customFormat="1" x14ac:dyDescent="0.35">
      <c r="A145" s="553"/>
    </row>
    <row r="146" spans="1:1" s="536" customFormat="1" x14ac:dyDescent="0.35">
      <c r="A146" s="553"/>
    </row>
    <row r="147" spans="1:1" s="536" customFormat="1" x14ac:dyDescent="0.35">
      <c r="A147" s="553"/>
    </row>
    <row r="148" spans="1:1" s="536" customFormat="1" x14ac:dyDescent="0.35">
      <c r="A148" s="553"/>
    </row>
    <row r="149" spans="1:1" s="536" customFormat="1" x14ac:dyDescent="0.35">
      <c r="A149" s="553"/>
    </row>
    <row r="150" spans="1:1" s="536" customFormat="1" x14ac:dyDescent="0.35">
      <c r="A150" s="553"/>
    </row>
    <row r="151" spans="1:1" s="536" customFormat="1" x14ac:dyDescent="0.35">
      <c r="A151" s="553"/>
    </row>
    <row r="152" spans="1:1" s="536" customFormat="1" x14ac:dyDescent="0.35">
      <c r="A152" s="553"/>
    </row>
    <row r="153" spans="1:1" s="536" customFormat="1" x14ac:dyDescent="0.35">
      <c r="A153" s="553"/>
    </row>
    <row r="154" spans="1:1" s="536" customFormat="1" x14ac:dyDescent="0.35">
      <c r="A154" s="553"/>
    </row>
    <row r="155" spans="1:1" s="536" customFormat="1" x14ac:dyDescent="0.35">
      <c r="A155" s="553"/>
    </row>
    <row r="156" spans="1:1" s="536" customFormat="1" x14ac:dyDescent="0.35">
      <c r="A156" s="553"/>
    </row>
    <row r="157" spans="1:1" s="536" customFormat="1" x14ac:dyDescent="0.35">
      <c r="A157" s="553"/>
    </row>
    <row r="158" spans="1:1" s="536" customFormat="1" x14ac:dyDescent="0.35">
      <c r="A158" s="553"/>
    </row>
    <row r="159" spans="1:1" s="536" customFormat="1" x14ac:dyDescent="0.35">
      <c r="A159" s="553"/>
    </row>
    <row r="160" spans="1:1" s="536" customFormat="1" x14ac:dyDescent="0.35">
      <c r="A160" s="553"/>
    </row>
    <row r="161" spans="1:1" s="536" customFormat="1" x14ac:dyDescent="0.35">
      <c r="A161" s="553"/>
    </row>
    <row r="162" spans="1:1" s="536" customFormat="1" x14ac:dyDescent="0.35">
      <c r="A162" s="553"/>
    </row>
    <row r="163" spans="1:1" s="536" customFormat="1" x14ac:dyDescent="0.35">
      <c r="A163" s="553"/>
    </row>
    <row r="164" spans="1:1" s="536" customFormat="1" x14ac:dyDescent="0.35">
      <c r="A164" s="553"/>
    </row>
    <row r="165" spans="1:1" s="536" customFormat="1" x14ac:dyDescent="0.35">
      <c r="A165" s="553"/>
    </row>
    <row r="166" spans="1:1" s="536" customFormat="1" x14ac:dyDescent="0.35">
      <c r="A166" s="553"/>
    </row>
    <row r="167" spans="1:1" s="536" customFormat="1" x14ac:dyDescent="0.35">
      <c r="A167" s="553"/>
    </row>
    <row r="168" spans="1:1" s="536" customFormat="1" x14ac:dyDescent="0.35">
      <c r="A168" s="553"/>
    </row>
    <row r="169" spans="1:1" s="536" customFormat="1" x14ac:dyDescent="0.35">
      <c r="A169" s="553"/>
    </row>
    <row r="170" spans="1:1" s="536" customFormat="1" x14ac:dyDescent="0.35">
      <c r="A170" s="553"/>
    </row>
    <row r="171" spans="1:1" s="536" customFormat="1" x14ac:dyDescent="0.35">
      <c r="A171" s="553"/>
    </row>
    <row r="172" spans="1:1" s="536" customFormat="1" x14ac:dyDescent="0.35">
      <c r="A172" s="553"/>
    </row>
    <row r="173" spans="1:1" s="536" customFormat="1" x14ac:dyDescent="0.35">
      <c r="A173" s="553"/>
    </row>
    <row r="174" spans="1:1" s="536" customFormat="1" x14ac:dyDescent="0.35">
      <c r="A174" s="553"/>
    </row>
    <row r="175" spans="1:1" s="536" customFormat="1" x14ac:dyDescent="0.35">
      <c r="A175" s="553"/>
    </row>
    <row r="176" spans="1:1" s="536" customFormat="1" x14ac:dyDescent="0.35">
      <c r="A176" s="553"/>
    </row>
    <row r="177" spans="1:1" s="536" customFormat="1" x14ac:dyDescent="0.35">
      <c r="A177" s="553"/>
    </row>
    <row r="178" spans="1:1" s="536" customFormat="1" x14ac:dyDescent="0.35">
      <c r="A178" s="553"/>
    </row>
    <row r="179" spans="1:1" s="536" customFormat="1" x14ac:dyDescent="0.35">
      <c r="A179" s="553"/>
    </row>
    <row r="180" spans="1:1" s="536" customFormat="1" x14ac:dyDescent="0.35">
      <c r="A180" s="553"/>
    </row>
    <row r="181" spans="1:1" s="536" customFormat="1" x14ac:dyDescent="0.35">
      <c r="A181" s="553"/>
    </row>
    <row r="182" spans="1:1" s="536" customFormat="1" x14ac:dyDescent="0.35">
      <c r="A182" s="553"/>
    </row>
    <row r="183" spans="1:1" s="536" customFormat="1" x14ac:dyDescent="0.35">
      <c r="A183" s="553"/>
    </row>
    <row r="184" spans="1:1" s="536" customFormat="1" x14ac:dyDescent="0.35">
      <c r="A184" s="553"/>
    </row>
    <row r="185" spans="1:1" s="536" customFormat="1" x14ac:dyDescent="0.35">
      <c r="A185" s="553"/>
    </row>
    <row r="186" spans="1:1" s="536" customFormat="1" x14ac:dyDescent="0.35">
      <c r="A186" s="553"/>
    </row>
    <row r="187" spans="1:1" s="536" customFormat="1" x14ac:dyDescent="0.35">
      <c r="A187" s="553"/>
    </row>
    <row r="188" spans="1:1" s="536" customFormat="1" x14ac:dyDescent="0.35">
      <c r="A188" s="553"/>
    </row>
    <row r="189" spans="1:1" s="536" customFormat="1" x14ac:dyDescent="0.35">
      <c r="A189" s="553"/>
    </row>
    <row r="190" spans="1:1" s="536" customFormat="1" x14ac:dyDescent="0.35">
      <c r="A190" s="553"/>
    </row>
    <row r="191" spans="1:1" s="536" customFormat="1" x14ac:dyDescent="0.35">
      <c r="A191" s="553"/>
    </row>
    <row r="192" spans="1:1" s="536" customFormat="1" x14ac:dyDescent="0.35">
      <c r="A192" s="553"/>
    </row>
    <row r="193" spans="1:1" s="536" customFormat="1" x14ac:dyDescent="0.35">
      <c r="A193" s="553"/>
    </row>
    <row r="194" spans="1:1" s="536" customFormat="1" x14ac:dyDescent="0.35">
      <c r="A194" s="553"/>
    </row>
    <row r="195" spans="1:1" s="536" customFormat="1" x14ac:dyDescent="0.35">
      <c r="A195" s="553"/>
    </row>
    <row r="196" spans="1:1" s="536" customFormat="1" x14ac:dyDescent="0.35">
      <c r="A196" s="553"/>
    </row>
    <row r="197" spans="1:1" s="536" customFormat="1" x14ac:dyDescent="0.35">
      <c r="A197" s="553"/>
    </row>
    <row r="198" spans="1:1" s="536" customFormat="1" x14ac:dyDescent="0.35">
      <c r="A198" s="553"/>
    </row>
    <row r="199" spans="1:1" s="536" customFormat="1" x14ac:dyDescent="0.35">
      <c r="A199" s="553"/>
    </row>
    <row r="200" spans="1:1" s="536" customFormat="1" x14ac:dyDescent="0.35">
      <c r="A200" s="553"/>
    </row>
    <row r="201" spans="1:1" s="536" customFormat="1" x14ac:dyDescent="0.35">
      <c r="A201" s="553"/>
    </row>
    <row r="202" spans="1:1" s="536" customFormat="1" x14ac:dyDescent="0.35">
      <c r="A202" s="553"/>
    </row>
    <row r="203" spans="1:1" s="536" customFormat="1" x14ac:dyDescent="0.35">
      <c r="A203" s="553"/>
    </row>
    <row r="204" spans="1:1" s="536" customFormat="1" x14ac:dyDescent="0.35">
      <c r="A204" s="553"/>
    </row>
    <row r="205" spans="1:1" s="536" customFormat="1" x14ac:dyDescent="0.35">
      <c r="A205" s="553"/>
    </row>
    <row r="206" spans="1:1" s="536" customFormat="1" x14ac:dyDescent="0.35">
      <c r="A206" s="553"/>
    </row>
    <row r="207" spans="1:1" s="536" customFormat="1" x14ac:dyDescent="0.35">
      <c r="A207" s="553"/>
    </row>
    <row r="208" spans="1:1" s="536" customFormat="1" x14ac:dyDescent="0.35">
      <c r="A208" s="553"/>
    </row>
    <row r="209" spans="1:1" s="536" customFormat="1" x14ac:dyDescent="0.35">
      <c r="A209" s="553"/>
    </row>
    <row r="210" spans="1:1" s="536" customFormat="1" x14ac:dyDescent="0.35">
      <c r="A210" s="553"/>
    </row>
    <row r="211" spans="1:1" s="536" customFormat="1" x14ac:dyDescent="0.35">
      <c r="A211" s="553"/>
    </row>
    <row r="212" spans="1:1" s="536" customFormat="1" x14ac:dyDescent="0.35">
      <c r="A212" s="553"/>
    </row>
    <row r="213" spans="1:1" s="536" customFormat="1" x14ac:dyDescent="0.35">
      <c r="A213" s="553"/>
    </row>
    <row r="214" spans="1:1" s="536" customFormat="1" x14ac:dyDescent="0.35">
      <c r="A214" s="553"/>
    </row>
    <row r="215" spans="1:1" s="536" customFormat="1" x14ac:dyDescent="0.35">
      <c r="A215" s="553"/>
    </row>
    <row r="216" spans="1:1" s="536" customFormat="1" x14ac:dyDescent="0.35">
      <c r="A216" s="553"/>
    </row>
    <row r="217" spans="1:1" s="536" customFormat="1" x14ac:dyDescent="0.35">
      <c r="A217" s="553"/>
    </row>
    <row r="218" spans="1:1" s="536" customFormat="1" x14ac:dyDescent="0.35">
      <c r="A218" s="553"/>
    </row>
    <row r="219" spans="1:1" s="536" customFormat="1" x14ac:dyDescent="0.35">
      <c r="A219" s="553"/>
    </row>
    <row r="220" spans="1:1" s="536" customFormat="1" x14ac:dyDescent="0.35">
      <c r="A220" s="553"/>
    </row>
    <row r="221" spans="1:1" s="536" customFormat="1" x14ac:dyDescent="0.35">
      <c r="A221" s="553"/>
    </row>
    <row r="222" spans="1:1" s="536" customFormat="1" x14ac:dyDescent="0.35">
      <c r="A222" s="553"/>
    </row>
    <row r="223" spans="1:1" s="536" customFormat="1" x14ac:dyDescent="0.35">
      <c r="A223" s="553"/>
    </row>
    <row r="224" spans="1:1" s="536" customFormat="1" x14ac:dyDescent="0.35">
      <c r="A224" s="553"/>
    </row>
    <row r="225" spans="1:1" s="536" customFormat="1" x14ac:dyDescent="0.35">
      <c r="A225" s="553"/>
    </row>
    <row r="226" spans="1:1" s="536" customFormat="1" x14ac:dyDescent="0.35">
      <c r="A226" s="553"/>
    </row>
    <row r="227" spans="1:1" s="536" customFormat="1" x14ac:dyDescent="0.35">
      <c r="A227" s="553"/>
    </row>
    <row r="228" spans="1:1" s="536" customFormat="1" x14ac:dyDescent="0.35">
      <c r="A228" s="553"/>
    </row>
    <row r="229" spans="1:1" s="536" customFormat="1" x14ac:dyDescent="0.35">
      <c r="A229" s="553"/>
    </row>
    <row r="230" spans="1:1" s="536" customFormat="1" x14ac:dyDescent="0.35">
      <c r="A230" s="553"/>
    </row>
    <row r="231" spans="1:1" s="536" customFormat="1" x14ac:dyDescent="0.35">
      <c r="A231" s="553"/>
    </row>
    <row r="232" spans="1:1" s="536" customFormat="1" x14ac:dyDescent="0.35">
      <c r="A232" s="553"/>
    </row>
    <row r="233" spans="1:1" s="536" customFormat="1" x14ac:dyDescent="0.35">
      <c r="A233" s="553"/>
    </row>
    <row r="234" spans="1:1" s="536" customFormat="1" x14ac:dyDescent="0.35">
      <c r="A234" s="553"/>
    </row>
    <row r="235" spans="1:1" s="536" customFormat="1" x14ac:dyDescent="0.35">
      <c r="A235" s="553"/>
    </row>
    <row r="236" spans="1:1" s="536" customFormat="1" x14ac:dyDescent="0.35">
      <c r="A236" s="553"/>
    </row>
    <row r="237" spans="1:1" s="536" customFormat="1" x14ac:dyDescent="0.35">
      <c r="A237" s="553"/>
    </row>
    <row r="238" spans="1:1" s="536" customFormat="1" x14ac:dyDescent="0.35">
      <c r="A238" s="553"/>
    </row>
    <row r="239" spans="1:1" s="536" customFormat="1" x14ac:dyDescent="0.35">
      <c r="A239" s="553"/>
    </row>
    <row r="240" spans="1:1" s="536" customFormat="1" x14ac:dyDescent="0.35">
      <c r="A240" s="553"/>
    </row>
    <row r="241" spans="1:1" s="536" customFormat="1" x14ac:dyDescent="0.35">
      <c r="A241" s="553"/>
    </row>
    <row r="242" spans="1:1" s="536" customFormat="1" x14ac:dyDescent="0.35">
      <c r="A242" s="553"/>
    </row>
    <row r="243" spans="1:1" s="536" customFormat="1" x14ac:dyDescent="0.35">
      <c r="A243" s="553"/>
    </row>
    <row r="244" spans="1:1" s="536" customFormat="1" x14ac:dyDescent="0.35">
      <c r="A244" s="553"/>
    </row>
    <row r="245" spans="1:1" s="536" customFormat="1" x14ac:dyDescent="0.35">
      <c r="A245" s="553"/>
    </row>
    <row r="246" spans="1:1" s="536" customFormat="1" x14ac:dyDescent="0.35">
      <c r="A246" s="553"/>
    </row>
    <row r="247" spans="1:1" s="536" customFormat="1" x14ac:dyDescent="0.35">
      <c r="A247" s="553"/>
    </row>
    <row r="248" spans="1:1" s="536" customFormat="1" x14ac:dyDescent="0.35">
      <c r="A248" s="553"/>
    </row>
    <row r="249" spans="1:1" s="536" customFormat="1" x14ac:dyDescent="0.35">
      <c r="A249" s="553"/>
    </row>
    <row r="250" spans="1:1" s="536" customFormat="1" x14ac:dyDescent="0.35">
      <c r="A250" s="553"/>
    </row>
    <row r="251" spans="1:1" s="536" customFormat="1" x14ac:dyDescent="0.35">
      <c r="A251" s="553"/>
    </row>
    <row r="252" spans="1:1" s="536" customFormat="1" x14ac:dyDescent="0.35">
      <c r="A252" s="553"/>
    </row>
    <row r="253" spans="1:1" s="536" customFormat="1" x14ac:dyDescent="0.35">
      <c r="A253" s="553"/>
    </row>
    <row r="254" spans="1:1" s="536" customFormat="1" x14ac:dyDescent="0.35">
      <c r="A254" s="553"/>
    </row>
    <row r="255" spans="1:1" s="536" customFormat="1" x14ac:dyDescent="0.35">
      <c r="A255" s="553"/>
    </row>
    <row r="256" spans="1:1" s="536" customFormat="1" x14ac:dyDescent="0.35">
      <c r="A256" s="553"/>
    </row>
    <row r="257" spans="1:1" s="536" customFormat="1" x14ac:dyDescent="0.35">
      <c r="A257" s="553"/>
    </row>
    <row r="258" spans="1:1" s="536" customFormat="1" x14ac:dyDescent="0.35">
      <c r="A258" s="553"/>
    </row>
    <row r="259" spans="1:1" s="536" customFormat="1" x14ac:dyDescent="0.35">
      <c r="A259" s="553"/>
    </row>
    <row r="260" spans="1:1" s="536" customFormat="1" x14ac:dyDescent="0.35">
      <c r="A260" s="553"/>
    </row>
    <row r="261" spans="1:1" s="536" customFormat="1" x14ac:dyDescent="0.35">
      <c r="A261" s="553"/>
    </row>
    <row r="262" spans="1:1" s="536" customFormat="1" x14ac:dyDescent="0.35">
      <c r="A262" s="553"/>
    </row>
    <row r="263" spans="1:1" s="536" customFormat="1" x14ac:dyDescent="0.35">
      <c r="A263" s="553"/>
    </row>
    <row r="264" spans="1:1" s="536" customFormat="1" x14ac:dyDescent="0.35">
      <c r="A264" s="553"/>
    </row>
    <row r="265" spans="1:1" s="536" customFormat="1" x14ac:dyDescent="0.35">
      <c r="A265" s="553"/>
    </row>
    <row r="266" spans="1:1" s="536" customFormat="1" x14ac:dyDescent="0.35">
      <c r="A266" s="553"/>
    </row>
    <row r="267" spans="1:1" s="536" customFormat="1" x14ac:dyDescent="0.35">
      <c r="A267" s="553"/>
    </row>
    <row r="268" spans="1:1" s="536" customFormat="1" x14ac:dyDescent="0.35">
      <c r="A268" s="553"/>
    </row>
    <row r="269" spans="1:1" s="536" customFormat="1" x14ac:dyDescent="0.35">
      <c r="A269" s="553"/>
    </row>
    <row r="270" spans="1:1" s="536" customFormat="1" x14ac:dyDescent="0.35">
      <c r="A270" s="553"/>
    </row>
    <row r="271" spans="1:1" s="536" customFormat="1" x14ac:dyDescent="0.35">
      <c r="A271" s="553"/>
    </row>
    <row r="272" spans="1:1" s="536" customFormat="1" x14ac:dyDescent="0.35">
      <c r="A272" s="553"/>
    </row>
    <row r="273" spans="1:1" s="536" customFormat="1" x14ac:dyDescent="0.35">
      <c r="A273" s="553"/>
    </row>
    <row r="274" spans="1:1" s="536" customFormat="1" x14ac:dyDescent="0.35">
      <c r="A274" s="553"/>
    </row>
    <row r="275" spans="1:1" s="536" customFormat="1" x14ac:dyDescent="0.35">
      <c r="A275" s="553"/>
    </row>
    <row r="276" spans="1:1" s="536" customFormat="1" x14ac:dyDescent="0.35">
      <c r="A276" s="553"/>
    </row>
    <row r="277" spans="1:1" s="536" customFormat="1" x14ac:dyDescent="0.35">
      <c r="A277" s="553"/>
    </row>
    <row r="278" spans="1:1" s="536" customFormat="1" x14ac:dyDescent="0.35">
      <c r="A278" s="553"/>
    </row>
    <row r="279" spans="1:1" s="536" customFormat="1" x14ac:dyDescent="0.35">
      <c r="A279" s="553"/>
    </row>
    <row r="280" spans="1:1" s="536" customFormat="1" x14ac:dyDescent="0.35">
      <c r="A280" s="553"/>
    </row>
    <row r="281" spans="1:1" s="536" customFormat="1" x14ac:dyDescent="0.35">
      <c r="A281" s="553"/>
    </row>
    <row r="282" spans="1:1" s="536" customFormat="1" x14ac:dyDescent="0.35">
      <c r="A282" s="553"/>
    </row>
    <row r="283" spans="1:1" s="536" customFormat="1" x14ac:dyDescent="0.35">
      <c r="A283" s="553"/>
    </row>
    <row r="284" spans="1:1" s="536" customFormat="1" x14ac:dyDescent="0.35">
      <c r="A284" s="553"/>
    </row>
    <row r="285" spans="1:1" s="536" customFormat="1" x14ac:dyDescent="0.35">
      <c r="A285" s="553"/>
    </row>
    <row r="286" spans="1:1" s="536" customFormat="1" x14ac:dyDescent="0.35">
      <c r="A286" s="553"/>
    </row>
    <row r="287" spans="1:1" s="536" customFormat="1" x14ac:dyDescent="0.35">
      <c r="A287" s="553"/>
    </row>
    <row r="288" spans="1:1" s="536" customFormat="1" x14ac:dyDescent="0.35">
      <c r="A288" s="553"/>
    </row>
    <row r="289" spans="1:1" s="536" customFormat="1" x14ac:dyDescent="0.35">
      <c r="A289" s="553"/>
    </row>
    <row r="290" spans="1:1" s="536" customFormat="1" x14ac:dyDescent="0.35">
      <c r="A290" s="553"/>
    </row>
    <row r="291" spans="1:1" s="536" customFormat="1" x14ac:dyDescent="0.35">
      <c r="A291" s="553"/>
    </row>
    <row r="292" spans="1:1" s="536" customFormat="1" x14ac:dyDescent="0.35">
      <c r="A292" s="553"/>
    </row>
    <row r="293" spans="1:1" s="536" customFormat="1" x14ac:dyDescent="0.35">
      <c r="A293" s="553"/>
    </row>
    <row r="294" spans="1:1" s="536" customFormat="1" x14ac:dyDescent="0.35">
      <c r="A294" s="553"/>
    </row>
    <row r="295" spans="1:1" s="536" customFormat="1" x14ac:dyDescent="0.35">
      <c r="A295" s="553"/>
    </row>
    <row r="296" spans="1:1" s="536" customFormat="1" x14ac:dyDescent="0.35">
      <c r="A296" s="553"/>
    </row>
    <row r="297" spans="1:1" s="536" customFormat="1" x14ac:dyDescent="0.35">
      <c r="A297" s="553"/>
    </row>
    <row r="298" spans="1:1" s="536" customFormat="1" x14ac:dyDescent="0.35">
      <c r="A298" s="553"/>
    </row>
    <row r="299" spans="1:1" s="536" customFormat="1" x14ac:dyDescent="0.35">
      <c r="A299" s="553"/>
    </row>
    <row r="300" spans="1:1" s="536" customFormat="1" x14ac:dyDescent="0.35">
      <c r="A300" s="553"/>
    </row>
    <row r="301" spans="1:1" s="536" customFormat="1" x14ac:dyDescent="0.35">
      <c r="A301" s="553"/>
    </row>
    <row r="302" spans="1:1" s="536" customFormat="1" x14ac:dyDescent="0.35">
      <c r="A302" s="553"/>
    </row>
    <row r="303" spans="1:1" s="536" customFormat="1" x14ac:dyDescent="0.35">
      <c r="A303" s="553"/>
    </row>
    <row r="304" spans="1:1" s="536" customFormat="1" x14ac:dyDescent="0.35">
      <c r="A304" s="553"/>
    </row>
    <row r="305" spans="1:1" s="536" customFormat="1" x14ac:dyDescent="0.35">
      <c r="A305" s="553"/>
    </row>
    <row r="306" spans="1:1" s="536" customFormat="1" x14ac:dyDescent="0.35">
      <c r="A306" s="553"/>
    </row>
    <row r="307" spans="1:1" s="536" customFormat="1" x14ac:dyDescent="0.35">
      <c r="A307" s="553"/>
    </row>
    <row r="308" spans="1:1" s="536" customFormat="1" x14ac:dyDescent="0.35">
      <c r="A308" s="553"/>
    </row>
    <row r="309" spans="1:1" s="536" customFormat="1" x14ac:dyDescent="0.35">
      <c r="A309" s="553"/>
    </row>
    <row r="310" spans="1:1" s="536" customFormat="1" x14ac:dyDescent="0.35">
      <c r="A310" s="553"/>
    </row>
    <row r="311" spans="1:1" s="536" customFormat="1" x14ac:dyDescent="0.35">
      <c r="A311" s="553"/>
    </row>
    <row r="312" spans="1:1" s="536" customFormat="1" x14ac:dyDescent="0.35">
      <c r="A312" s="553"/>
    </row>
    <row r="313" spans="1:1" s="536" customFormat="1" x14ac:dyDescent="0.35">
      <c r="A313" s="553"/>
    </row>
    <row r="314" spans="1:1" s="536" customFormat="1" x14ac:dyDescent="0.35">
      <c r="A314" s="553"/>
    </row>
    <row r="315" spans="1:1" s="536" customFormat="1" x14ac:dyDescent="0.35">
      <c r="A315" s="553"/>
    </row>
    <row r="316" spans="1:1" s="536" customFormat="1" x14ac:dyDescent="0.35">
      <c r="A316" s="553"/>
    </row>
    <row r="317" spans="1:1" s="536" customFormat="1" x14ac:dyDescent="0.35">
      <c r="A317" s="553"/>
    </row>
    <row r="318" spans="1:1" s="536" customFormat="1" x14ac:dyDescent="0.35">
      <c r="A318" s="553"/>
    </row>
    <row r="319" spans="1:1" s="536" customFormat="1" x14ac:dyDescent="0.35">
      <c r="A319" s="553"/>
    </row>
    <row r="320" spans="1:1" s="536" customFormat="1" x14ac:dyDescent="0.35">
      <c r="A320" s="553"/>
    </row>
    <row r="321" spans="1:1" s="536" customFormat="1" x14ac:dyDescent="0.35">
      <c r="A321" s="553"/>
    </row>
    <row r="322" spans="1:1" s="536" customFormat="1" x14ac:dyDescent="0.35">
      <c r="A322" s="553"/>
    </row>
    <row r="323" spans="1:1" s="536" customFormat="1" x14ac:dyDescent="0.35">
      <c r="A323" s="553"/>
    </row>
    <row r="324" spans="1:1" s="536" customFormat="1" x14ac:dyDescent="0.35">
      <c r="A324" s="553"/>
    </row>
    <row r="325" spans="1:1" s="536" customFormat="1" x14ac:dyDescent="0.35">
      <c r="A325" s="553"/>
    </row>
    <row r="326" spans="1:1" s="536" customFormat="1" x14ac:dyDescent="0.35">
      <c r="A326" s="553"/>
    </row>
    <row r="327" spans="1:1" s="536" customFormat="1" x14ac:dyDescent="0.35">
      <c r="A327" s="553"/>
    </row>
    <row r="328" spans="1:1" s="536" customFormat="1" x14ac:dyDescent="0.35">
      <c r="A328" s="553"/>
    </row>
    <row r="329" spans="1:1" s="536" customFormat="1" x14ac:dyDescent="0.35">
      <c r="A329" s="553"/>
    </row>
    <row r="330" spans="1:1" s="536" customFormat="1" x14ac:dyDescent="0.35">
      <c r="A330" s="553"/>
    </row>
    <row r="331" spans="1:1" s="536" customFormat="1" x14ac:dyDescent="0.35">
      <c r="A331" s="553"/>
    </row>
    <row r="332" spans="1:1" s="536" customFormat="1" x14ac:dyDescent="0.35">
      <c r="A332" s="553"/>
    </row>
    <row r="333" spans="1:1" s="536" customFormat="1" x14ac:dyDescent="0.35">
      <c r="A333" s="553"/>
    </row>
    <row r="334" spans="1:1" s="536" customFormat="1" x14ac:dyDescent="0.35">
      <c r="A334" s="553"/>
    </row>
    <row r="335" spans="1:1" s="536" customFormat="1" x14ac:dyDescent="0.35">
      <c r="A335" s="553"/>
    </row>
    <row r="336" spans="1:1" s="536" customFormat="1" x14ac:dyDescent="0.35">
      <c r="A336" s="553"/>
    </row>
    <row r="337" spans="1:1" s="536" customFormat="1" x14ac:dyDescent="0.35">
      <c r="A337" s="553"/>
    </row>
    <row r="338" spans="1:1" s="536" customFormat="1" x14ac:dyDescent="0.35">
      <c r="A338" s="553"/>
    </row>
    <row r="339" spans="1:1" s="536" customFormat="1" x14ac:dyDescent="0.35">
      <c r="A339" s="553"/>
    </row>
    <row r="340" spans="1:1" s="536" customFormat="1" x14ac:dyDescent="0.35">
      <c r="A340" s="553"/>
    </row>
    <row r="341" spans="1:1" s="536" customFormat="1" x14ac:dyDescent="0.35">
      <c r="A341" s="553"/>
    </row>
    <row r="342" spans="1:1" s="536" customFormat="1" x14ac:dyDescent="0.35">
      <c r="A342" s="553"/>
    </row>
    <row r="343" spans="1:1" s="536" customFormat="1" x14ac:dyDescent="0.35">
      <c r="A343" s="553"/>
    </row>
  </sheetData>
  <sheetProtection selectLockedCells="1"/>
  <mergeCells count="57">
    <mergeCell ref="A21:A22"/>
    <mergeCell ref="B21:B22"/>
    <mergeCell ref="C21:C22"/>
    <mergeCell ref="D21:D22"/>
    <mergeCell ref="M21:M22"/>
    <mergeCell ref="A17:A18"/>
    <mergeCell ref="B17:B18"/>
    <mergeCell ref="C17:C18"/>
    <mergeCell ref="D17:D18"/>
    <mergeCell ref="M17:M18"/>
    <mergeCell ref="A19:A20"/>
    <mergeCell ref="B19:B20"/>
    <mergeCell ref="C19:C20"/>
    <mergeCell ref="D19:D20"/>
    <mergeCell ref="M19:M20"/>
    <mergeCell ref="A13:A14"/>
    <mergeCell ref="B13:B14"/>
    <mergeCell ref="C13:C14"/>
    <mergeCell ref="D13:D14"/>
    <mergeCell ref="M13:M14"/>
    <mergeCell ref="A15:A16"/>
    <mergeCell ref="B15:B16"/>
    <mergeCell ref="C15:C16"/>
    <mergeCell ref="D15:D16"/>
    <mergeCell ref="M15:M16"/>
    <mergeCell ref="A9:A10"/>
    <mergeCell ref="B9:B10"/>
    <mergeCell ref="C9:C10"/>
    <mergeCell ref="D9:D10"/>
    <mergeCell ref="M9:M10"/>
    <mergeCell ref="A11:A12"/>
    <mergeCell ref="B11:B12"/>
    <mergeCell ref="C11:C12"/>
    <mergeCell ref="D11:D12"/>
    <mergeCell ref="M11:M12"/>
    <mergeCell ref="A5:A6"/>
    <mergeCell ref="B5:B6"/>
    <mergeCell ref="C5:C6"/>
    <mergeCell ref="D5:D6"/>
    <mergeCell ref="M5:M6"/>
    <mergeCell ref="A7:A8"/>
    <mergeCell ref="B7:B8"/>
    <mergeCell ref="C7:C8"/>
    <mergeCell ref="D7:D8"/>
    <mergeCell ref="M7:M8"/>
    <mergeCell ref="M1:M2"/>
    <mergeCell ref="A3:A4"/>
    <mergeCell ref="B3:B4"/>
    <mergeCell ref="C3:C4"/>
    <mergeCell ref="D3:D4"/>
    <mergeCell ref="M3:M4"/>
    <mergeCell ref="A1:A2"/>
    <mergeCell ref="B1:B2"/>
    <mergeCell ref="C1:C2"/>
    <mergeCell ref="D1:D2"/>
    <mergeCell ref="E1:I1"/>
    <mergeCell ref="J1:L1"/>
  </mergeCells>
  <dataValidations count="1">
    <dataValidation type="whole" allowBlank="1" showInputMessage="1" showErrorMessage="1" sqref="J13:L13" xr:uid="{D2DE5EF4-644E-4F4A-BE94-AC3895912E47}">
      <formula1>0</formula1>
      <formula2>5</formula2>
    </dataValidation>
  </dataValidations>
  <pageMargins left="0.59055118110236227" right="0.59055118110236227" top="0.94488188976377963" bottom="0.86614173228346458" header="0.31496062992125984" footer="0.31496062992125984"/>
  <pageSetup scale="45" fitToHeight="0" orientation="landscape" r:id="rId1"/>
  <headerFooter>
    <oddHeader>&amp;L&amp;"Palatino Linotype,Negrita"&amp;18
Componente 7: Transformación digital&amp;C&amp;"Palatino Linotype,Negrita"&amp;24Programa Fábricas de Productividad
&amp;20Guía para el diagnóstico general de la Empresa&amp;R&amp;G</oddHeader>
    <oddFooter>&amp;L&amp;"Palatino Linotype,Normal"&amp;G
&amp;"Palatino Linotype,Cursiva"© Colombia Productiva &amp;C&amp;"Palatino Linotype,Negrita"&amp;18&amp;G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1" manualBreakCount="1">
    <brk id="12" max="12" man="1"/>
  </rowBreaks>
  <colBreaks count="1" manualBreakCount="1">
    <brk id="13" max="1048575" man="1"/>
  </col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2F9CB-8682-4D02-B30F-CC996777351D}">
  <sheetPr>
    <tabColor theme="4" tint="-0.249977111117893"/>
  </sheetPr>
  <dimension ref="A1:M332"/>
  <sheetViews>
    <sheetView showGridLines="0" topLeftCell="A25" zoomScale="50" zoomScaleNormal="50" zoomScaleSheetLayoutView="70" workbookViewId="0">
      <selection activeCell="H44" sqref="H44"/>
    </sheetView>
  </sheetViews>
  <sheetFormatPr baseColWidth="10" defaultColWidth="10" defaultRowHeight="17" x14ac:dyDescent="0.45"/>
  <cols>
    <col min="1" max="1" width="4.7265625" style="571" customWidth="1"/>
    <col min="2" max="2" width="18" style="296" customWidth="1"/>
    <col min="3" max="3" width="23.453125" style="296" customWidth="1"/>
    <col min="4" max="4" width="21" style="296" customWidth="1"/>
    <col min="5" max="9" width="26.1796875" style="296" customWidth="1"/>
    <col min="10" max="12" width="10" style="296" customWidth="1"/>
    <col min="13" max="13" width="50.26953125" style="296" customWidth="1"/>
    <col min="14" max="16384" width="10" style="597"/>
  </cols>
  <sheetData>
    <row r="1" spans="1:13" ht="39.65" customHeight="1" x14ac:dyDescent="0.35">
      <c r="A1" s="940" t="s">
        <v>20</v>
      </c>
      <c r="B1" s="941" t="s">
        <v>21</v>
      </c>
      <c r="C1" s="941" t="s">
        <v>22</v>
      </c>
      <c r="D1" s="941" t="s">
        <v>23</v>
      </c>
      <c r="E1" s="942" t="s">
        <v>24</v>
      </c>
      <c r="F1" s="942"/>
      <c r="G1" s="942"/>
      <c r="H1" s="942"/>
      <c r="I1" s="942"/>
      <c r="J1" s="915" t="s">
        <v>25</v>
      </c>
      <c r="K1" s="915"/>
      <c r="L1" s="915"/>
      <c r="M1" s="907" t="str">
        <f>+'7'!M1:M2</f>
        <v>Observaciones generales  y/o afectaciones derivadas de la emergencia sanitaria COVID-19</v>
      </c>
    </row>
    <row r="2" spans="1:13" ht="39.65" customHeight="1" x14ac:dyDescent="0.35">
      <c r="A2" s="940"/>
      <c r="B2" s="941"/>
      <c r="C2" s="941"/>
      <c r="D2" s="941"/>
      <c r="E2" s="503">
        <v>1</v>
      </c>
      <c r="F2" s="504">
        <v>2</v>
      </c>
      <c r="G2" s="505">
        <v>3</v>
      </c>
      <c r="H2" s="506">
        <v>4</v>
      </c>
      <c r="I2" s="507">
        <v>5</v>
      </c>
      <c r="J2" s="772">
        <v>2022</v>
      </c>
      <c r="K2" s="772">
        <v>2023</v>
      </c>
      <c r="L2" s="772">
        <v>2024</v>
      </c>
      <c r="M2" s="907"/>
    </row>
    <row r="3" spans="1:13" ht="17.649999999999999" customHeight="1" x14ac:dyDescent="0.35">
      <c r="A3" s="908">
        <v>1</v>
      </c>
      <c r="B3" s="909" t="s">
        <v>586</v>
      </c>
      <c r="C3" s="993" t="s">
        <v>587</v>
      </c>
      <c r="D3" s="910" t="s">
        <v>588</v>
      </c>
      <c r="E3" s="478"/>
      <c r="F3" s="478"/>
      <c r="G3" s="478"/>
      <c r="H3" s="478"/>
      <c r="I3" s="478" t="s">
        <v>46</v>
      </c>
      <c r="J3" s="479">
        <v>5</v>
      </c>
      <c r="K3" s="479">
        <v>5</v>
      </c>
      <c r="L3" s="479">
        <v>5</v>
      </c>
      <c r="M3" s="911"/>
    </row>
    <row r="4" spans="1:13" ht="53.25" customHeight="1" x14ac:dyDescent="0.35">
      <c r="A4" s="908"/>
      <c r="B4" s="909"/>
      <c r="C4" s="994"/>
      <c r="D4" s="910"/>
      <c r="E4" s="770" t="s">
        <v>589</v>
      </c>
      <c r="F4" s="770" t="s">
        <v>590</v>
      </c>
      <c r="G4" s="770" t="s">
        <v>591</v>
      </c>
      <c r="H4" s="770" t="s">
        <v>592</v>
      </c>
      <c r="I4" s="770" t="s">
        <v>593</v>
      </c>
      <c r="J4" s="481"/>
      <c r="K4" s="481"/>
      <c r="L4" s="481"/>
      <c r="M4" s="911"/>
    </row>
    <row r="5" spans="1:13" ht="17.649999999999999" customHeight="1" x14ac:dyDescent="0.35">
      <c r="A5" s="908">
        <v>2</v>
      </c>
      <c r="B5" s="909" t="s">
        <v>594</v>
      </c>
      <c r="C5" s="993" t="s">
        <v>595</v>
      </c>
      <c r="D5" s="910" t="s">
        <v>596</v>
      </c>
      <c r="E5" s="516"/>
      <c r="F5" s="516" t="s">
        <v>204</v>
      </c>
      <c r="G5" s="516"/>
      <c r="H5" s="516"/>
      <c r="I5" s="516"/>
      <c r="J5" s="479"/>
      <c r="K5" s="479"/>
      <c r="L5" s="479"/>
      <c r="M5" s="911"/>
    </row>
    <row r="6" spans="1:13" ht="72.75" customHeight="1" x14ac:dyDescent="0.35">
      <c r="A6" s="908"/>
      <c r="B6" s="909"/>
      <c r="C6" s="994"/>
      <c r="D6" s="910"/>
      <c r="E6" s="770" t="s">
        <v>589</v>
      </c>
      <c r="F6" s="770" t="s">
        <v>597</v>
      </c>
      <c r="G6" s="770" t="s">
        <v>598</v>
      </c>
      <c r="H6" s="770" t="s">
        <v>599</v>
      </c>
      <c r="I6" s="770" t="s">
        <v>600</v>
      </c>
      <c r="J6" s="481"/>
      <c r="K6" s="481"/>
      <c r="L6" s="481"/>
      <c r="M6" s="911"/>
    </row>
    <row r="7" spans="1:13" ht="17.649999999999999" customHeight="1" x14ac:dyDescent="0.35">
      <c r="A7" s="908">
        <v>3</v>
      </c>
      <c r="B7" s="909" t="s">
        <v>601</v>
      </c>
      <c r="C7" s="993" t="s">
        <v>602</v>
      </c>
      <c r="D7" s="910" t="s">
        <v>603</v>
      </c>
      <c r="E7" s="516"/>
      <c r="F7" s="516" t="s">
        <v>149</v>
      </c>
      <c r="G7" s="516"/>
      <c r="H7" s="516"/>
      <c r="I7" s="516"/>
      <c r="J7" s="479"/>
      <c r="K7" s="479"/>
      <c r="L7" s="479"/>
      <c r="M7" s="911"/>
    </row>
    <row r="8" spans="1:13" ht="42.75" customHeight="1" x14ac:dyDescent="0.35">
      <c r="A8" s="908"/>
      <c r="B8" s="909"/>
      <c r="C8" s="995"/>
      <c r="D8" s="910"/>
      <c r="E8" s="770" t="s">
        <v>589</v>
      </c>
      <c r="F8" s="770" t="s">
        <v>604</v>
      </c>
      <c r="G8" s="770" t="s">
        <v>605</v>
      </c>
      <c r="H8" s="770" t="s">
        <v>606</v>
      </c>
      <c r="I8" s="770" t="s">
        <v>607</v>
      </c>
      <c r="J8" s="481"/>
      <c r="K8" s="481"/>
      <c r="L8" s="481"/>
      <c r="M8" s="911"/>
    </row>
    <row r="9" spans="1:13" ht="17.649999999999999" customHeight="1" x14ac:dyDescent="0.35">
      <c r="A9" s="908"/>
      <c r="B9" s="909"/>
      <c r="C9" s="995"/>
      <c r="D9" s="910" t="s">
        <v>608</v>
      </c>
      <c r="E9" s="516"/>
      <c r="F9" s="516"/>
      <c r="G9" s="516" t="s">
        <v>204</v>
      </c>
      <c r="H9" s="516"/>
      <c r="I9" s="516"/>
      <c r="J9" s="479"/>
      <c r="K9" s="479"/>
      <c r="L9" s="479"/>
      <c r="M9" s="911"/>
    </row>
    <row r="10" spans="1:13" ht="39" customHeight="1" x14ac:dyDescent="0.35">
      <c r="A10" s="908"/>
      <c r="B10" s="909"/>
      <c r="C10" s="995"/>
      <c r="D10" s="910"/>
      <c r="E10" s="770" t="s">
        <v>589</v>
      </c>
      <c r="F10" s="770" t="s">
        <v>604</v>
      </c>
      <c r="G10" s="770" t="s">
        <v>605</v>
      </c>
      <c r="H10" s="770" t="s">
        <v>609</v>
      </c>
      <c r="I10" s="770" t="s">
        <v>610</v>
      </c>
      <c r="J10" s="481"/>
      <c r="K10" s="481"/>
      <c r="L10" s="481"/>
      <c r="M10" s="911"/>
    </row>
    <row r="11" spans="1:13" ht="17.649999999999999" customHeight="1" x14ac:dyDescent="0.35">
      <c r="A11" s="908"/>
      <c r="B11" s="909"/>
      <c r="C11" s="995"/>
      <c r="D11" s="910" t="s">
        <v>611</v>
      </c>
      <c r="E11" s="516"/>
      <c r="F11" s="516" t="s">
        <v>149</v>
      </c>
      <c r="G11" s="516"/>
      <c r="H11" s="516"/>
      <c r="I11" s="516"/>
      <c r="J11" s="479"/>
      <c r="K11" s="479"/>
      <c r="L11" s="479"/>
      <c r="M11" s="911"/>
    </row>
    <row r="12" spans="1:13" ht="33" customHeight="1" x14ac:dyDescent="0.35">
      <c r="A12" s="908"/>
      <c r="B12" s="909"/>
      <c r="C12" s="995"/>
      <c r="D12" s="910"/>
      <c r="E12" s="770" t="s">
        <v>589</v>
      </c>
      <c r="F12" s="770" t="s">
        <v>604</v>
      </c>
      <c r="G12" s="770" t="s">
        <v>605</v>
      </c>
      <c r="H12" s="770" t="s">
        <v>612</v>
      </c>
      <c r="I12" s="770" t="s">
        <v>613</v>
      </c>
      <c r="J12" s="481"/>
      <c r="K12" s="481"/>
      <c r="L12" s="481"/>
      <c r="M12" s="911"/>
    </row>
    <row r="13" spans="1:13" ht="17.649999999999999" customHeight="1" x14ac:dyDescent="0.35">
      <c r="A13" s="908"/>
      <c r="B13" s="909"/>
      <c r="C13" s="995"/>
      <c r="D13" s="910" t="s">
        <v>614</v>
      </c>
      <c r="E13" s="516"/>
      <c r="F13" s="516" t="s">
        <v>204</v>
      </c>
      <c r="G13" s="516"/>
      <c r="H13" s="516"/>
      <c r="I13" s="516"/>
      <c r="J13" s="479"/>
      <c r="K13" s="479"/>
      <c r="L13" s="479"/>
      <c r="M13" s="911"/>
    </row>
    <row r="14" spans="1:13" ht="35.25" customHeight="1" x14ac:dyDescent="0.35">
      <c r="A14" s="908"/>
      <c r="B14" s="909"/>
      <c r="C14" s="994"/>
      <c r="D14" s="910"/>
      <c r="E14" s="770" t="s">
        <v>589</v>
      </c>
      <c r="F14" s="770" t="s">
        <v>604</v>
      </c>
      <c r="G14" s="770" t="s">
        <v>605</v>
      </c>
      <c r="H14" s="770" t="s">
        <v>615</v>
      </c>
      <c r="I14" s="770" t="s">
        <v>616</v>
      </c>
      <c r="J14" s="481"/>
      <c r="K14" s="481"/>
      <c r="L14" s="481"/>
      <c r="M14" s="911"/>
    </row>
    <row r="15" spans="1:13" ht="17.649999999999999" customHeight="1" x14ac:dyDescent="0.35">
      <c r="A15" s="908">
        <v>4</v>
      </c>
      <c r="B15" s="909" t="s">
        <v>617</v>
      </c>
      <c r="C15" s="945" t="s">
        <v>618</v>
      </c>
      <c r="D15" s="954" t="s">
        <v>619</v>
      </c>
      <c r="E15" s="478"/>
      <c r="F15" s="478"/>
      <c r="G15" s="478"/>
      <c r="H15" s="478"/>
      <c r="I15" s="478"/>
      <c r="J15" s="479"/>
      <c r="K15" s="479"/>
      <c r="L15" s="479"/>
      <c r="M15" s="911"/>
    </row>
    <row r="16" spans="1:13" ht="36.75" customHeight="1" x14ac:dyDescent="0.35">
      <c r="A16" s="908"/>
      <c r="B16" s="909"/>
      <c r="C16" s="945"/>
      <c r="D16" s="974"/>
      <c r="E16" s="770" t="s">
        <v>620</v>
      </c>
      <c r="F16" s="770" t="s">
        <v>621</v>
      </c>
      <c r="G16" s="770" t="s">
        <v>622</v>
      </c>
      <c r="H16" s="770" t="s">
        <v>623</v>
      </c>
      <c r="I16" s="770" t="s">
        <v>624</v>
      </c>
      <c r="J16" s="481"/>
      <c r="K16" s="481"/>
      <c r="L16" s="481"/>
      <c r="M16" s="911"/>
    </row>
    <row r="17" spans="1:13" ht="17.649999999999999" customHeight="1" x14ac:dyDescent="0.35">
      <c r="A17" s="908"/>
      <c r="B17" s="909"/>
      <c r="C17" s="945"/>
      <c r="D17" s="954" t="s">
        <v>625</v>
      </c>
      <c r="E17" s="516"/>
      <c r="F17" s="516" t="s">
        <v>149</v>
      </c>
      <c r="G17" s="516"/>
      <c r="H17" s="516"/>
      <c r="I17" s="516"/>
      <c r="J17" s="479"/>
      <c r="K17" s="479"/>
      <c r="L17" s="479"/>
      <c r="M17" s="911"/>
    </row>
    <row r="18" spans="1:13" ht="49.5" customHeight="1" x14ac:dyDescent="0.35">
      <c r="A18" s="908"/>
      <c r="B18" s="909"/>
      <c r="C18" s="945"/>
      <c r="D18" s="974"/>
      <c r="E18" s="770" t="s">
        <v>620</v>
      </c>
      <c r="F18" s="770" t="s">
        <v>621</v>
      </c>
      <c r="G18" s="770" t="s">
        <v>622</v>
      </c>
      <c r="H18" s="770" t="s">
        <v>626</v>
      </c>
      <c r="I18" s="770" t="s">
        <v>627</v>
      </c>
      <c r="J18" s="481"/>
      <c r="K18" s="481"/>
      <c r="L18" s="481"/>
      <c r="M18" s="911"/>
    </row>
    <row r="19" spans="1:13" ht="17.649999999999999" customHeight="1" x14ac:dyDescent="0.35">
      <c r="A19" s="908">
        <v>5</v>
      </c>
      <c r="B19" s="909" t="s">
        <v>628</v>
      </c>
      <c r="C19" s="947" t="s">
        <v>629</v>
      </c>
      <c r="D19" s="996" t="s">
        <v>630</v>
      </c>
      <c r="E19" s="516"/>
      <c r="F19" s="516" t="s">
        <v>149</v>
      </c>
      <c r="G19" s="516"/>
      <c r="H19" s="516"/>
      <c r="I19" s="516"/>
      <c r="J19" s="479"/>
      <c r="K19" s="479"/>
      <c r="L19" s="479"/>
      <c r="M19" s="911"/>
    </row>
    <row r="20" spans="1:13" ht="297" customHeight="1" x14ac:dyDescent="0.35">
      <c r="A20" s="908"/>
      <c r="B20" s="909"/>
      <c r="C20" s="947"/>
      <c r="D20" s="996"/>
      <c r="E20" s="770" t="s">
        <v>631</v>
      </c>
      <c r="F20" s="770" t="s">
        <v>632</v>
      </c>
      <c r="G20" s="526" t="s">
        <v>633</v>
      </c>
      <c r="H20" s="770" t="s">
        <v>634</v>
      </c>
      <c r="I20" s="770" t="s">
        <v>635</v>
      </c>
      <c r="J20" s="481"/>
      <c r="K20" s="481"/>
      <c r="L20" s="481"/>
      <c r="M20" s="911"/>
    </row>
    <row r="21" spans="1:13" ht="17.649999999999999" customHeight="1" x14ac:dyDescent="0.35">
      <c r="A21" s="908">
        <v>6</v>
      </c>
      <c r="B21" s="909" t="s">
        <v>636</v>
      </c>
      <c r="C21" s="947" t="s">
        <v>637</v>
      </c>
      <c r="D21" s="910"/>
      <c r="E21" s="516"/>
      <c r="F21" s="516" t="s">
        <v>149</v>
      </c>
      <c r="G21" s="516"/>
      <c r="H21" s="516"/>
      <c r="I21" s="516"/>
      <c r="J21" s="479"/>
      <c r="K21" s="479"/>
      <c r="L21" s="479"/>
      <c r="M21" s="911"/>
    </row>
    <row r="22" spans="1:13" ht="354" customHeight="1" x14ac:dyDescent="0.35">
      <c r="A22" s="908"/>
      <c r="B22" s="909"/>
      <c r="C22" s="947"/>
      <c r="D22" s="910"/>
      <c r="E22" s="770" t="s">
        <v>47</v>
      </c>
      <c r="F22" s="770" t="s">
        <v>638</v>
      </c>
      <c r="G22" s="770" t="s">
        <v>639</v>
      </c>
      <c r="H22" s="770" t="s">
        <v>640</v>
      </c>
      <c r="I22" s="770" t="s">
        <v>641</v>
      </c>
      <c r="J22" s="481"/>
      <c r="K22" s="481"/>
      <c r="L22" s="481"/>
      <c r="M22" s="911"/>
    </row>
    <row r="23" spans="1:13" ht="17.649999999999999" customHeight="1" x14ac:dyDescent="0.35">
      <c r="A23" s="908">
        <v>7</v>
      </c>
      <c r="B23" s="909" t="s">
        <v>642</v>
      </c>
      <c r="C23" s="945" t="s">
        <v>643</v>
      </c>
      <c r="D23" s="910"/>
      <c r="E23" s="478"/>
      <c r="F23" s="478"/>
      <c r="G23" s="478"/>
      <c r="H23" s="478"/>
      <c r="I23" s="478" t="s">
        <v>46</v>
      </c>
      <c r="J23" s="479"/>
      <c r="K23" s="479"/>
      <c r="L23" s="479"/>
      <c r="M23" s="911"/>
    </row>
    <row r="24" spans="1:13" ht="370.5" customHeight="1" x14ac:dyDescent="0.35">
      <c r="A24" s="908"/>
      <c r="B24" s="909"/>
      <c r="C24" s="945"/>
      <c r="D24" s="910"/>
      <c r="E24" s="770" t="s">
        <v>644</v>
      </c>
      <c r="F24" s="770"/>
      <c r="G24" s="770" t="s">
        <v>645</v>
      </c>
      <c r="H24" s="770"/>
      <c r="I24" s="525" t="s">
        <v>646</v>
      </c>
      <c r="J24" s="481"/>
      <c r="K24" s="481"/>
      <c r="L24" s="481"/>
      <c r="M24" s="911"/>
    </row>
    <row r="25" spans="1:13" s="599" customFormat="1" ht="17.649999999999999" customHeight="1" x14ac:dyDescent="0.35">
      <c r="A25" s="997">
        <v>8</v>
      </c>
      <c r="B25" s="909" t="s">
        <v>647</v>
      </c>
      <c r="C25" s="947" t="s">
        <v>648</v>
      </c>
      <c r="D25" s="998"/>
      <c r="E25" s="516"/>
      <c r="F25" s="516" t="s">
        <v>149</v>
      </c>
      <c r="G25" s="516"/>
      <c r="H25" s="516"/>
      <c r="I25" s="516"/>
      <c r="J25" s="591"/>
      <c r="K25" s="591"/>
      <c r="L25" s="591"/>
      <c r="M25" s="999"/>
    </row>
    <row r="26" spans="1:13" s="599" customFormat="1" ht="147.65" customHeight="1" x14ac:dyDescent="0.35">
      <c r="A26" s="997"/>
      <c r="B26" s="909"/>
      <c r="C26" s="947"/>
      <c r="D26" s="998"/>
      <c r="E26" s="782" t="s">
        <v>649</v>
      </c>
      <c r="F26" s="782" t="s">
        <v>650</v>
      </c>
      <c r="G26" s="782" t="s">
        <v>651</v>
      </c>
      <c r="H26" s="782" t="s">
        <v>652</v>
      </c>
      <c r="I26" s="782" t="s">
        <v>653</v>
      </c>
      <c r="J26" s="481"/>
      <c r="K26" s="481"/>
      <c r="L26" s="481"/>
      <c r="M26" s="999"/>
    </row>
    <row r="27" spans="1:13" s="599" customFormat="1" ht="17.649999999999999" customHeight="1" x14ac:dyDescent="0.35">
      <c r="A27" s="997">
        <v>9</v>
      </c>
      <c r="B27" s="909" t="s">
        <v>654</v>
      </c>
      <c r="C27" s="945" t="s">
        <v>655</v>
      </c>
      <c r="D27" s="998"/>
      <c r="E27" s="478"/>
      <c r="F27" s="478"/>
      <c r="G27" s="478"/>
      <c r="H27" s="478"/>
      <c r="I27" s="478" t="s">
        <v>46</v>
      </c>
      <c r="J27" s="591"/>
      <c r="K27" s="591"/>
      <c r="L27" s="591"/>
      <c r="M27" s="999"/>
    </row>
    <row r="28" spans="1:13" s="599" customFormat="1" ht="127.9" customHeight="1" x14ac:dyDescent="0.35">
      <c r="A28" s="997"/>
      <c r="B28" s="909"/>
      <c r="C28" s="945"/>
      <c r="D28" s="998"/>
      <c r="E28" s="782" t="s">
        <v>656</v>
      </c>
      <c r="F28" s="782" t="s">
        <v>657</v>
      </c>
      <c r="G28" s="782" t="s">
        <v>658</v>
      </c>
      <c r="H28" s="782" t="s">
        <v>659</v>
      </c>
      <c r="I28" s="782" t="s">
        <v>660</v>
      </c>
      <c r="J28" s="481"/>
      <c r="K28" s="481"/>
      <c r="L28" s="481"/>
      <c r="M28" s="999"/>
    </row>
    <row r="29" spans="1:13" s="599" customFormat="1" ht="17.649999999999999" customHeight="1" x14ac:dyDescent="0.35">
      <c r="A29" s="997">
        <v>10</v>
      </c>
      <c r="B29" s="1000" t="s">
        <v>661</v>
      </c>
      <c r="C29" s="945" t="s">
        <v>662</v>
      </c>
      <c r="D29" s="998"/>
      <c r="E29" s="478"/>
      <c r="F29" s="478"/>
      <c r="G29" s="478"/>
      <c r="H29" s="478"/>
      <c r="I29" s="478" t="s">
        <v>46</v>
      </c>
      <c r="J29" s="591"/>
      <c r="K29" s="591"/>
      <c r="L29" s="591"/>
      <c r="M29" s="999"/>
    </row>
    <row r="30" spans="1:13" s="599" customFormat="1" ht="110.25" customHeight="1" x14ac:dyDescent="0.35">
      <c r="A30" s="997"/>
      <c r="B30" s="1000"/>
      <c r="C30" s="945"/>
      <c r="D30" s="998"/>
      <c r="E30" s="782" t="s">
        <v>663</v>
      </c>
      <c r="F30" s="782" t="s">
        <v>664</v>
      </c>
      <c r="G30" s="782" t="s">
        <v>665</v>
      </c>
      <c r="H30" s="782" t="s">
        <v>666</v>
      </c>
      <c r="I30" s="782" t="s">
        <v>667</v>
      </c>
      <c r="J30" s="481"/>
      <c r="K30" s="481"/>
      <c r="L30" s="481"/>
      <c r="M30" s="999"/>
    </row>
    <row r="31" spans="1:13" s="599" customFormat="1" x14ac:dyDescent="0.35">
      <c r="A31" s="926">
        <v>11</v>
      </c>
      <c r="B31" s="956" t="s">
        <v>668</v>
      </c>
      <c r="C31" s="957" t="s">
        <v>669</v>
      </c>
      <c r="D31" s="957" t="s">
        <v>670</v>
      </c>
      <c r="E31" s="488" t="s">
        <v>46</v>
      </c>
      <c r="F31" s="488"/>
      <c r="G31" s="488"/>
      <c r="H31" s="488"/>
      <c r="I31" s="488"/>
      <c r="J31" s="489"/>
      <c r="K31" s="489"/>
      <c r="L31" s="489"/>
      <c r="M31" s="600"/>
    </row>
    <row r="32" spans="1:13" s="599" customFormat="1" ht="237.75" customHeight="1" x14ac:dyDescent="0.35">
      <c r="A32" s="926"/>
      <c r="B32" s="956"/>
      <c r="C32" s="957"/>
      <c r="D32" s="957"/>
      <c r="E32" s="775" t="s">
        <v>671</v>
      </c>
      <c r="F32" s="775" t="s">
        <v>672</v>
      </c>
      <c r="G32" s="601" t="s">
        <v>673</v>
      </c>
      <c r="H32" s="775" t="s">
        <v>674</v>
      </c>
      <c r="I32" s="601" t="s">
        <v>675</v>
      </c>
      <c r="J32" s="602"/>
      <c r="K32" s="602"/>
      <c r="L32" s="602"/>
      <c r="M32" s="600"/>
    </row>
    <row r="33" spans="1:13" ht="15.5" x14ac:dyDescent="0.35">
      <c r="A33" s="603"/>
      <c r="B33" s="604"/>
      <c r="C33" s="604"/>
      <c r="D33" s="604"/>
      <c r="E33" s="604"/>
      <c r="F33" s="604"/>
      <c r="G33" s="604"/>
      <c r="H33" s="604"/>
      <c r="I33" s="604"/>
      <c r="J33" s="604"/>
      <c r="K33" s="604"/>
      <c r="L33" s="604"/>
      <c r="M33" s="605"/>
    </row>
    <row r="34" spans="1:13" x14ac:dyDescent="0.45">
      <c r="A34" s="606"/>
      <c r="B34" s="562" t="s">
        <v>74</v>
      </c>
      <c r="C34" s="597"/>
      <c r="D34" s="597"/>
      <c r="E34" s="597"/>
      <c r="F34" s="597"/>
      <c r="G34" s="597"/>
      <c r="H34" s="597"/>
      <c r="I34" s="597"/>
      <c r="J34" s="597"/>
      <c r="K34" s="597"/>
      <c r="L34" s="597"/>
      <c r="M34" s="607"/>
    </row>
    <row r="35" spans="1:13" ht="15.5" x14ac:dyDescent="0.35">
      <c r="A35" s="606"/>
      <c r="B35" s="597"/>
      <c r="C35" s="597"/>
      <c r="D35" s="597"/>
      <c r="E35" s="597"/>
      <c r="F35" s="597"/>
      <c r="G35" s="597"/>
      <c r="H35" s="597"/>
      <c r="I35" s="597"/>
      <c r="J35" s="597"/>
      <c r="K35" s="597"/>
      <c r="L35" s="597"/>
      <c r="M35" s="607"/>
    </row>
    <row r="36" spans="1:13" ht="15.5" x14ac:dyDescent="0.35">
      <c r="A36" s="606"/>
      <c r="B36" s="597"/>
      <c r="C36" s="597"/>
      <c r="D36" s="597"/>
      <c r="E36" s="597"/>
      <c r="F36" s="597"/>
      <c r="G36" s="597"/>
      <c r="H36" s="597"/>
      <c r="I36" s="597"/>
      <c r="J36" s="597"/>
      <c r="K36" s="597"/>
      <c r="L36" s="597"/>
      <c r="M36" s="607"/>
    </row>
    <row r="37" spans="1:13" ht="15.5" x14ac:dyDescent="0.35">
      <c r="A37" s="606"/>
      <c r="B37" s="597"/>
      <c r="C37" s="597"/>
      <c r="D37" s="597"/>
      <c r="E37" s="597"/>
      <c r="F37" s="597"/>
      <c r="G37" s="597"/>
      <c r="H37" s="597"/>
      <c r="I37" s="597"/>
      <c r="J37" s="597"/>
      <c r="K37" s="597"/>
      <c r="L37" s="597"/>
      <c r="M37" s="607"/>
    </row>
    <row r="38" spans="1:13" ht="15.5" x14ac:dyDescent="0.35">
      <c r="A38" s="606"/>
      <c r="B38" s="597"/>
      <c r="C38" s="597"/>
      <c r="D38" s="597"/>
      <c r="E38" s="597"/>
      <c r="F38" s="597"/>
      <c r="G38" s="597"/>
      <c r="H38" s="597"/>
      <c r="I38" s="597"/>
      <c r="J38" s="597"/>
      <c r="K38" s="597"/>
      <c r="L38" s="597"/>
      <c r="M38" s="607"/>
    </row>
    <row r="39" spans="1:13" ht="15.5" x14ac:dyDescent="0.35">
      <c r="A39" s="606"/>
      <c r="B39" s="597"/>
      <c r="C39" s="597"/>
      <c r="D39" s="597"/>
      <c r="E39" s="597"/>
      <c r="F39" s="597"/>
      <c r="G39" s="597"/>
      <c r="H39" s="597"/>
      <c r="I39" s="597"/>
      <c r="J39" s="597"/>
      <c r="K39" s="597"/>
      <c r="L39" s="597"/>
      <c r="M39" s="607"/>
    </row>
    <row r="40" spans="1:13" ht="15.5" x14ac:dyDescent="0.35">
      <c r="A40" s="606"/>
      <c r="B40" s="597"/>
      <c r="C40" s="597"/>
      <c r="D40" s="597"/>
      <c r="E40" s="597"/>
      <c r="F40" s="597"/>
      <c r="G40" s="597"/>
      <c r="H40" s="597"/>
      <c r="I40" s="597"/>
      <c r="J40" s="597"/>
      <c r="K40" s="597"/>
      <c r="L40" s="597"/>
      <c r="M40" s="607"/>
    </row>
    <row r="41" spans="1:13" ht="15.5" x14ac:dyDescent="0.35">
      <c r="A41" s="606"/>
      <c r="B41" s="597"/>
      <c r="C41" s="597"/>
      <c r="D41" s="597"/>
      <c r="E41" s="597"/>
      <c r="F41" s="597"/>
      <c r="G41" s="597"/>
      <c r="H41" s="597"/>
      <c r="I41" s="597"/>
      <c r="J41" s="597"/>
      <c r="K41" s="597"/>
      <c r="L41" s="597"/>
      <c r="M41" s="607"/>
    </row>
    <row r="42" spans="1:13" ht="15.5" x14ac:dyDescent="0.35">
      <c r="A42" s="608"/>
      <c r="B42" s="609"/>
      <c r="C42" s="609"/>
      <c r="D42" s="609"/>
      <c r="E42" s="609"/>
      <c r="F42" s="609"/>
      <c r="G42" s="609"/>
      <c r="H42" s="609"/>
      <c r="I42" s="609"/>
      <c r="J42" s="609"/>
      <c r="K42" s="609"/>
      <c r="L42" s="609"/>
      <c r="M42" s="610"/>
    </row>
    <row r="43" spans="1:13" ht="15.5" x14ac:dyDescent="0.35">
      <c r="A43" s="597"/>
      <c r="B43" s="597"/>
      <c r="C43" s="597"/>
      <c r="D43" s="597"/>
      <c r="E43" s="597"/>
      <c r="F43" s="597"/>
      <c r="G43" s="597"/>
      <c r="H43" s="597"/>
      <c r="I43" s="597"/>
      <c r="J43" s="597"/>
      <c r="K43" s="597"/>
      <c r="L43" s="597"/>
      <c r="M43" s="597"/>
    </row>
    <row r="44" spans="1:13" ht="15.5" x14ac:dyDescent="0.35">
      <c r="A44" s="597"/>
      <c r="B44" s="597"/>
      <c r="C44" s="597"/>
      <c r="D44" s="597"/>
      <c r="E44" s="597"/>
      <c r="F44" s="597"/>
      <c r="G44" s="597"/>
      <c r="H44" s="597"/>
      <c r="I44" s="597"/>
      <c r="J44" s="597"/>
      <c r="K44" s="597"/>
      <c r="L44" s="597"/>
      <c r="M44" s="597"/>
    </row>
    <row r="45" spans="1:13" ht="15.5" x14ac:dyDescent="0.35">
      <c r="A45" s="597"/>
      <c r="B45" s="597"/>
      <c r="C45" s="597"/>
      <c r="D45" s="597"/>
      <c r="E45" s="597"/>
      <c r="F45" s="597"/>
      <c r="G45" s="597"/>
      <c r="H45" s="597"/>
      <c r="I45" s="597"/>
      <c r="J45" s="597"/>
      <c r="K45" s="597"/>
      <c r="L45" s="597"/>
      <c r="M45" s="597"/>
    </row>
    <row r="46" spans="1:13" ht="15.5" x14ac:dyDescent="0.35">
      <c r="A46" s="597"/>
      <c r="B46" s="597"/>
      <c r="C46" s="597"/>
      <c r="D46" s="597"/>
      <c r="E46" s="597"/>
      <c r="F46" s="597"/>
      <c r="G46" s="597"/>
      <c r="H46" s="597"/>
      <c r="I46" s="597"/>
      <c r="J46" s="597"/>
      <c r="K46" s="597"/>
      <c r="L46" s="597"/>
      <c r="M46" s="597"/>
    </row>
    <row r="47" spans="1:13" ht="15.5" x14ac:dyDescent="0.35">
      <c r="A47" s="597"/>
      <c r="B47" s="597"/>
      <c r="C47" s="597"/>
      <c r="D47" s="597"/>
      <c r="E47" s="597"/>
      <c r="F47" s="597"/>
      <c r="G47" s="597"/>
      <c r="H47" s="597"/>
      <c r="I47" s="597"/>
      <c r="J47" s="597"/>
      <c r="K47" s="597"/>
      <c r="L47" s="597"/>
      <c r="M47" s="597"/>
    </row>
    <row r="48" spans="1:13" ht="15.5" x14ac:dyDescent="0.35">
      <c r="A48" s="597"/>
      <c r="B48" s="597"/>
      <c r="C48" s="597"/>
      <c r="D48" s="597"/>
      <c r="E48" s="597"/>
      <c r="F48" s="597"/>
      <c r="G48" s="597"/>
      <c r="H48" s="597"/>
      <c r="I48" s="597"/>
      <c r="J48" s="597"/>
      <c r="K48" s="597"/>
      <c r="L48" s="597"/>
      <c r="M48" s="597"/>
    </row>
    <row r="49" s="597" customFormat="1" ht="15.5" x14ac:dyDescent="0.35"/>
    <row r="50" s="597" customFormat="1" ht="15.5" x14ac:dyDescent="0.35"/>
    <row r="51" s="597" customFormat="1" ht="15.5" x14ac:dyDescent="0.35"/>
    <row r="52" s="597" customFormat="1" ht="15.5" x14ac:dyDescent="0.35"/>
    <row r="53" s="597" customFormat="1" ht="15.5" x14ac:dyDescent="0.35"/>
    <row r="54" s="597" customFormat="1" ht="15.5" x14ac:dyDescent="0.35"/>
    <row r="55" s="597" customFormat="1" ht="15.5" x14ac:dyDescent="0.35"/>
    <row r="56" s="597" customFormat="1" ht="15.5" x14ac:dyDescent="0.35"/>
    <row r="57" s="597" customFormat="1" ht="15.5" x14ac:dyDescent="0.35"/>
    <row r="58" s="597" customFormat="1" ht="15.5" x14ac:dyDescent="0.35"/>
    <row r="59" s="597" customFormat="1" ht="15.5" x14ac:dyDescent="0.35"/>
    <row r="60" s="597" customFormat="1" ht="15.5" x14ac:dyDescent="0.35"/>
    <row r="61" s="597" customFormat="1" ht="15.5" x14ac:dyDescent="0.35"/>
    <row r="62" s="597" customFormat="1" ht="15.5" x14ac:dyDescent="0.35"/>
    <row r="63" s="597" customFormat="1" ht="15.5" x14ac:dyDescent="0.35"/>
    <row r="64" s="597" customFormat="1" ht="15.5" x14ac:dyDescent="0.35"/>
    <row r="65" spans="1:13" ht="15.5" x14ac:dyDescent="0.35">
      <c r="A65" s="597"/>
      <c r="B65" s="597"/>
      <c r="C65" s="597"/>
      <c r="D65" s="597"/>
      <c r="E65" s="597"/>
      <c r="F65" s="597"/>
      <c r="G65" s="597"/>
      <c r="H65" s="597"/>
      <c r="I65" s="597"/>
      <c r="J65" s="597"/>
      <c r="K65" s="597"/>
      <c r="L65" s="597"/>
      <c r="M65" s="597"/>
    </row>
    <row r="66" spans="1:13" ht="15.5" x14ac:dyDescent="0.35">
      <c r="A66" s="597"/>
      <c r="B66" s="597"/>
      <c r="C66" s="597"/>
      <c r="D66" s="597"/>
      <c r="E66" s="597"/>
      <c r="F66" s="597"/>
      <c r="G66" s="597"/>
      <c r="H66" s="597"/>
      <c r="I66" s="597"/>
      <c r="J66" s="597"/>
      <c r="K66" s="597"/>
      <c r="L66" s="597"/>
      <c r="M66" s="597"/>
    </row>
    <row r="67" spans="1:13" ht="15.5" x14ac:dyDescent="0.35">
      <c r="A67" s="597"/>
      <c r="B67" s="597"/>
      <c r="C67" s="597"/>
      <c r="D67" s="597"/>
      <c r="E67" s="597"/>
      <c r="F67" s="597"/>
      <c r="G67" s="597"/>
      <c r="H67" s="597"/>
      <c r="I67" s="597"/>
      <c r="J67" s="597"/>
      <c r="K67" s="597"/>
      <c r="L67" s="597"/>
      <c r="M67" s="597"/>
    </row>
    <row r="68" spans="1:13" ht="15.5" x14ac:dyDescent="0.35">
      <c r="A68" s="597"/>
      <c r="B68" s="597"/>
      <c r="C68" s="597"/>
      <c r="D68" s="597"/>
      <c r="E68" s="597"/>
      <c r="F68" s="597"/>
      <c r="G68" s="597"/>
      <c r="H68" s="597"/>
      <c r="I68" s="597"/>
      <c r="J68" s="597"/>
      <c r="K68" s="597"/>
      <c r="L68" s="597"/>
      <c r="M68" s="597"/>
    </row>
    <row r="69" spans="1:13" ht="15.5" x14ac:dyDescent="0.35">
      <c r="A69" s="597"/>
      <c r="B69" s="597"/>
      <c r="C69" s="597"/>
      <c r="D69" s="597"/>
      <c r="E69" s="597"/>
      <c r="F69" s="597"/>
      <c r="G69" s="597"/>
      <c r="H69" s="597"/>
      <c r="I69" s="597"/>
      <c r="J69" s="597"/>
      <c r="K69" s="597"/>
      <c r="L69" s="597"/>
      <c r="M69" s="597"/>
    </row>
    <row r="70" spans="1:13" ht="15.5" x14ac:dyDescent="0.35">
      <c r="A70" s="597"/>
      <c r="B70" s="597"/>
      <c r="C70" s="597"/>
      <c r="D70" s="597"/>
      <c r="E70" s="597"/>
      <c r="F70" s="597"/>
      <c r="G70" s="597"/>
      <c r="H70" s="597"/>
      <c r="I70" s="597"/>
      <c r="J70" s="597"/>
      <c r="K70" s="597"/>
      <c r="L70" s="597"/>
      <c r="M70" s="597"/>
    </row>
    <row r="71" spans="1:13" ht="15.5" x14ac:dyDescent="0.35">
      <c r="A71" s="597"/>
      <c r="B71" s="597"/>
      <c r="C71" s="597"/>
      <c r="D71" s="597"/>
      <c r="E71" s="597"/>
      <c r="F71" s="597"/>
      <c r="G71" s="597"/>
      <c r="H71" s="597"/>
      <c r="I71" s="597"/>
      <c r="J71" s="597"/>
      <c r="K71" s="597"/>
      <c r="L71" s="597"/>
      <c r="M71" s="597"/>
    </row>
    <row r="72" spans="1:13" ht="15.5" x14ac:dyDescent="0.35">
      <c r="A72" s="597"/>
      <c r="B72" s="597"/>
      <c r="C72" s="597"/>
      <c r="D72" s="597"/>
      <c r="E72" s="597"/>
      <c r="F72" s="597"/>
      <c r="G72" s="597"/>
      <c r="H72" s="597"/>
      <c r="I72" s="597"/>
      <c r="J72" s="597"/>
      <c r="K72" s="597"/>
      <c r="L72" s="597"/>
      <c r="M72" s="597"/>
    </row>
    <row r="73" spans="1:13" ht="15.5" x14ac:dyDescent="0.35">
      <c r="A73" s="597"/>
      <c r="B73" s="597"/>
      <c r="C73" s="597"/>
      <c r="D73" s="597"/>
      <c r="E73" s="597"/>
      <c r="F73" s="597"/>
      <c r="G73" s="597"/>
      <c r="H73" s="597"/>
      <c r="I73" s="597"/>
      <c r="J73" s="597"/>
      <c r="K73" s="597"/>
      <c r="L73" s="597"/>
      <c r="M73" s="597"/>
    </row>
    <row r="74" spans="1:13" ht="15.5" x14ac:dyDescent="0.35">
      <c r="A74" s="597"/>
      <c r="B74" s="597"/>
      <c r="C74" s="597"/>
      <c r="D74" s="597"/>
      <c r="E74" s="597"/>
      <c r="F74" s="597"/>
      <c r="G74" s="597"/>
      <c r="H74" s="597"/>
      <c r="I74" s="597"/>
      <c r="J74" s="597"/>
      <c r="K74" s="597"/>
      <c r="L74" s="597"/>
      <c r="M74" s="597"/>
    </row>
    <row r="75" spans="1:13" ht="15.5" x14ac:dyDescent="0.35">
      <c r="A75" s="597"/>
      <c r="B75" s="597"/>
      <c r="C75" s="597"/>
      <c r="D75" s="597"/>
      <c r="E75" s="597"/>
      <c r="F75" s="597"/>
      <c r="G75" s="597"/>
      <c r="H75" s="597"/>
      <c r="I75" s="597"/>
      <c r="J75" s="597"/>
      <c r="K75" s="597"/>
      <c r="L75" s="597"/>
      <c r="M75" s="597"/>
    </row>
    <row r="76" spans="1:13" ht="15.5" x14ac:dyDescent="0.35">
      <c r="A76" s="597"/>
      <c r="B76" s="597"/>
      <c r="C76" s="597"/>
      <c r="D76" s="597"/>
      <c r="E76" s="597"/>
      <c r="F76" s="597"/>
      <c r="G76" s="597"/>
      <c r="H76" s="597"/>
      <c r="I76" s="597"/>
      <c r="J76" s="597"/>
      <c r="K76" s="597"/>
      <c r="L76" s="597"/>
      <c r="M76" s="597"/>
    </row>
    <row r="77" spans="1:13" ht="15.5" x14ac:dyDescent="0.35">
      <c r="A77" s="597"/>
      <c r="B77" s="597"/>
      <c r="C77" s="597"/>
      <c r="D77" s="597"/>
      <c r="E77" s="597"/>
      <c r="F77" s="597"/>
      <c r="G77" s="597"/>
      <c r="H77" s="597"/>
      <c r="I77" s="597"/>
      <c r="J77" s="597"/>
      <c r="K77" s="597"/>
      <c r="L77" s="597"/>
      <c r="M77" s="597"/>
    </row>
    <row r="78" spans="1:13" ht="15.5" x14ac:dyDescent="0.35">
      <c r="A78" s="597"/>
      <c r="B78" s="597"/>
      <c r="C78" s="597"/>
      <c r="D78" s="597"/>
      <c r="E78" s="597"/>
      <c r="F78" s="597"/>
      <c r="G78" s="597"/>
      <c r="H78" s="597"/>
      <c r="I78" s="597"/>
      <c r="J78" s="597"/>
      <c r="K78" s="597"/>
      <c r="L78" s="597"/>
      <c r="M78" s="597"/>
    </row>
    <row r="79" spans="1:13" ht="15.5" x14ac:dyDescent="0.35">
      <c r="A79" s="597"/>
      <c r="B79" s="597"/>
      <c r="C79" s="597"/>
      <c r="D79" s="597"/>
      <c r="E79" s="597"/>
      <c r="F79" s="597"/>
      <c r="G79" s="597"/>
      <c r="H79" s="597"/>
      <c r="I79" s="597"/>
      <c r="J79" s="597"/>
      <c r="K79" s="597"/>
      <c r="L79" s="597"/>
      <c r="M79" s="597"/>
    </row>
    <row r="80" spans="1:13" ht="15.5" x14ac:dyDescent="0.35">
      <c r="A80" s="498"/>
      <c r="B80" s="498"/>
      <c r="C80" s="498"/>
      <c r="D80" s="498"/>
      <c r="E80" s="498"/>
      <c r="F80" s="498"/>
      <c r="G80" s="498"/>
      <c r="H80" s="498"/>
      <c r="I80" s="498"/>
      <c r="J80" s="498"/>
      <c r="K80" s="498"/>
      <c r="L80" s="498"/>
      <c r="M80" s="498"/>
    </row>
    <row r="81" spans="1:13" ht="15.5" x14ac:dyDescent="0.35">
      <c r="A81" s="498"/>
      <c r="B81" s="498"/>
      <c r="C81" s="498"/>
      <c r="D81" s="498"/>
      <c r="E81" s="498"/>
      <c r="F81" s="498"/>
      <c r="G81" s="498"/>
      <c r="H81" s="498"/>
      <c r="I81" s="498"/>
      <c r="J81" s="498"/>
      <c r="K81" s="498"/>
      <c r="L81" s="498"/>
      <c r="M81" s="498"/>
    </row>
    <row r="82" spans="1:13" ht="15.5" x14ac:dyDescent="0.35">
      <c r="A82" s="498"/>
      <c r="B82" s="498"/>
      <c r="C82" s="498"/>
      <c r="D82" s="498"/>
      <c r="E82" s="498"/>
      <c r="F82" s="498"/>
      <c r="G82" s="498"/>
      <c r="H82" s="498"/>
      <c r="I82" s="498"/>
      <c r="J82" s="498"/>
      <c r="K82" s="498"/>
      <c r="L82" s="498"/>
      <c r="M82" s="498"/>
    </row>
    <row r="83" spans="1:13" ht="15.5" x14ac:dyDescent="0.35">
      <c r="A83" s="498"/>
      <c r="B83" s="498"/>
      <c r="C83" s="498"/>
      <c r="D83" s="498"/>
      <c r="E83" s="498"/>
      <c r="F83" s="498"/>
      <c r="G83" s="498"/>
      <c r="H83" s="498"/>
      <c r="I83" s="498"/>
      <c r="J83" s="498"/>
      <c r="K83" s="498"/>
      <c r="L83" s="498"/>
      <c r="M83" s="498"/>
    </row>
    <row r="84" spans="1:13" ht="15.5" x14ac:dyDescent="0.35">
      <c r="A84" s="498"/>
      <c r="B84" s="498"/>
      <c r="C84" s="498"/>
      <c r="D84" s="498"/>
      <c r="E84" s="498"/>
      <c r="F84" s="498"/>
      <c r="G84" s="498"/>
      <c r="H84" s="498"/>
      <c r="I84" s="498"/>
      <c r="J84" s="498"/>
      <c r="K84" s="498"/>
      <c r="L84" s="498"/>
      <c r="M84" s="498"/>
    </row>
    <row r="85" spans="1:13" ht="15.5" x14ac:dyDescent="0.35">
      <c r="A85" s="498"/>
      <c r="B85" s="498"/>
      <c r="C85" s="498"/>
      <c r="D85" s="498"/>
      <c r="E85" s="498"/>
      <c r="F85" s="498"/>
      <c r="G85" s="498"/>
      <c r="H85" s="498"/>
      <c r="I85" s="498"/>
      <c r="J85" s="498"/>
      <c r="K85" s="498"/>
      <c r="L85" s="498"/>
      <c r="M85" s="498"/>
    </row>
    <row r="86" spans="1:13" ht="15.5" x14ac:dyDescent="0.35">
      <c r="A86" s="498"/>
      <c r="B86" s="498"/>
      <c r="C86" s="498"/>
      <c r="D86" s="498"/>
      <c r="E86" s="498"/>
      <c r="F86" s="498"/>
      <c r="G86" s="498"/>
      <c r="H86" s="498"/>
      <c r="I86" s="498"/>
      <c r="J86" s="498"/>
      <c r="K86" s="498"/>
      <c r="L86" s="498"/>
      <c r="M86" s="498"/>
    </row>
    <row r="87" spans="1:13" ht="15.5" x14ac:dyDescent="0.35">
      <c r="A87" s="498"/>
      <c r="B87" s="498"/>
      <c r="C87" s="498"/>
      <c r="D87" s="498"/>
      <c r="E87" s="498"/>
      <c r="F87" s="498"/>
      <c r="G87" s="498"/>
      <c r="H87" s="498"/>
      <c r="I87" s="498"/>
      <c r="J87" s="498"/>
      <c r="K87" s="498"/>
      <c r="L87" s="498"/>
      <c r="M87" s="498"/>
    </row>
    <row r="88" spans="1:13" ht="15.5" x14ac:dyDescent="0.35">
      <c r="A88" s="498"/>
      <c r="B88" s="498"/>
      <c r="C88" s="498"/>
      <c r="D88" s="498"/>
      <c r="E88" s="498"/>
      <c r="F88" s="498"/>
      <c r="G88" s="498"/>
      <c r="H88" s="498"/>
      <c r="I88" s="498"/>
      <c r="J88" s="498"/>
      <c r="K88" s="498"/>
      <c r="L88" s="498"/>
      <c r="M88" s="498"/>
    </row>
    <row r="89" spans="1:13" ht="15.5" x14ac:dyDescent="0.35">
      <c r="A89" s="498"/>
      <c r="B89" s="498"/>
      <c r="C89" s="498"/>
      <c r="D89" s="498"/>
      <c r="E89" s="498"/>
      <c r="F89" s="498"/>
      <c r="G89" s="498"/>
      <c r="H89" s="498"/>
      <c r="I89" s="498"/>
      <c r="J89" s="498"/>
      <c r="K89" s="498"/>
      <c r="L89" s="498"/>
      <c r="M89" s="498"/>
    </row>
    <row r="90" spans="1:13" ht="15.5" x14ac:dyDescent="0.35">
      <c r="A90" s="498"/>
      <c r="B90" s="498"/>
      <c r="C90" s="498"/>
      <c r="D90" s="498"/>
      <c r="E90" s="498"/>
      <c r="F90" s="498"/>
      <c r="G90" s="498"/>
      <c r="H90" s="498"/>
      <c r="I90" s="498"/>
      <c r="J90" s="498"/>
      <c r="K90" s="498"/>
      <c r="L90" s="498"/>
      <c r="M90" s="498"/>
    </row>
    <row r="91" spans="1:13" ht="15.5" x14ac:dyDescent="0.35">
      <c r="A91" s="498"/>
      <c r="B91" s="498"/>
      <c r="C91" s="498"/>
      <c r="D91" s="498"/>
      <c r="E91" s="498"/>
      <c r="F91" s="498"/>
      <c r="G91" s="498"/>
      <c r="H91" s="498"/>
      <c r="I91" s="498"/>
      <c r="J91" s="498"/>
      <c r="K91" s="498"/>
      <c r="L91" s="498"/>
      <c r="M91" s="498"/>
    </row>
    <row r="92" spans="1:13" ht="15.5" x14ac:dyDescent="0.35">
      <c r="A92" s="498"/>
      <c r="B92" s="498"/>
      <c r="C92" s="498"/>
      <c r="D92" s="498"/>
      <c r="E92" s="498"/>
      <c r="F92" s="498"/>
      <c r="G92" s="498"/>
      <c r="H92" s="498"/>
      <c r="I92" s="498"/>
      <c r="J92" s="498"/>
      <c r="K92" s="498"/>
      <c r="L92" s="498"/>
      <c r="M92" s="498"/>
    </row>
    <row r="93" spans="1:13" ht="15.5" x14ac:dyDescent="0.35">
      <c r="A93" s="498"/>
      <c r="B93" s="498"/>
      <c r="C93" s="498"/>
      <c r="D93" s="498"/>
      <c r="E93" s="498"/>
      <c r="F93" s="498"/>
      <c r="G93" s="498"/>
      <c r="H93" s="498"/>
      <c r="I93" s="498"/>
      <c r="J93" s="498"/>
      <c r="K93" s="498"/>
      <c r="L93" s="498"/>
      <c r="M93" s="498"/>
    </row>
    <row r="94" spans="1:13" ht="15.5" x14ac:dyDescent="0.35">
      <c r="A94" s="498"/>
      <c r="B94" s="498"/>
      <c r="C94" s="498"/>
      <c r="D94" s="498"/>
      <c r="E94" s="498"/>
      <c r="F94" s="498"/>
      <c r="G94" s="498"/>
      <c r="H94" s="498"/>
      <c r="I94" s="498"/>
      <c r="J94" s="498"/>
      <c r="K94" s="498"/>
      <c r="L94" s="498"/>
      <c r="M94" s="498"/>
    </row>
    <row r="95" spans="1:13" ht="15.5" x14ac:dyDescent="0.35">
      <c r="A95" s="498"/>
      <c r="B95" s="498"/>
      <c r="C95" s="498"/>
      <c r="D95" s="498"/>
      <c r="E95" s="498"/>
      <c r="F95" s="498"/>
      <c r="G95" s="498"/>
      <c r="H95" s="498"/>
      <c r="I95" s="498"/>
      <c r="J95" s="498"/>
      <c r="K95" s="498"/>
      <c r="L95" s="498"/>
      <c r="M95" s="498"/>
    </row>
    <row r="96" spans="1:13" ht="15.5" x14ac:dyDescent="0.35">
      <c r="A96" s="498"/>
      <c r="B96" s="498"/>
      <c r="C96" s="498"/>
      <c r="D96" s="498"/>
      <c r="E96" s="498"/>
      <c r="F96" s="498"/>
      <c r="G96" s="498"/>
      <c r="H96" s="498"/>
      <c r="I96" s="498"/>
      <c r="J96" s="498"/>
      <c r="K96" s="498"/>
      <c r="L96" s="498"/>
      <c r="M96" s="498"/>
    </row>
    <row r="97" spans="1:13" ht="15.5" x14ac:dyDescent="0.35">
      <c r="A97" s="498"/>
      <c r="B97" s="498"/>
      <c r="C97" s="498"/>
      <c r="D97" s="498"/>
      <c r="E97" s="498"/>
      <c r="F97" s="498"/>
      <c r="G97" s="498"/>
      <c r="H97" s="498"/>
      <c r="I97" s="498"/>
      <c r="J97" s="498"/>
      <c r="K97" s="498"/>
      <c r="L97" s="498"/>
      <c r="M97" s="498"/>
    </row>
    <row r="98" spans="1:13" ht="15.5" x14ac:dyDescent="0.35">
      <c r="A98" s="498"/>
      <c r="B98" s="498"/>
      <c r="C98" s="498"/>
      <c r="D98" s="498"/>
      <c r="E98" s="498"/>
      <c r="F98" s="498"/>
      <c r="G98" s="498"/>
      <c r="H98" s="498"/>
      <c r="I98" s="498"/>
      <c r="J98" s="498"/>
      <c r="K98" s="498"/>
      <c r="L98" s="498"/>
      <c r="M98" s="498"/>
    </row>
    <row r="99" spans="1:13" ht="15.5" x14ac:dyDescent="0.35">
      <c r="A99" s="498"/>
      <c r="B99" s="498"/>
      <c r="C99" s="498"/>
      <c r="D99" s="498"/>
      <c r="E99" s="498"/>
      <c r="F99" s="498"/>
      <c r="G99" s="498"/>
      <c r="H99" s="498"/>
      <c r="I99" s="498"/>
      <c r="J99" s="498"/>
      <c r="K99" s="498"/>
      <c r="L99" s="498"/>
      <c r="M99" s="498"/>
    </row>
    <row r="100" spans="1:13" ht="15.5" x14ac:dyDescent="0.35">
      <c r="A100" s="498"/>
      <c r="B100" s="498"/>
      <c r="C100" s="498"/>
      <c r="D100" s="498"/>
      <c r="E100" s="498"/>
      <c r="F100" s="498"/>
      <c r="G100" s="498"/>
      <c r="H100" s="498"/>
      <c r="I100" s="498"/>
      <c r="J100" s="498"/>
      <c r="K100" s="498"/>
      <c r="L100" s="498"/>
      <c r="M100" s="498"/>
    </row>
    <row r="101" spans="1:13" ht="15.5" x14ac:dyDescent="0.35">
      <c r="A101" s="498"/>
      <c r="B101" s="498"/>
      <c r="C101" s="498"/>
      <c r="D101" s="498"/>
      <c r="E101" s="498"/>
      <c r="F101" s="498"/>
      <c r="G101" s="498"/>
      <c r="H101" s="498"/>
      <c r="I101" s="498"/>
      <c r="J101" s="498"/>
      <c r="K101" s="498"/>
      <c r="L101" s="498"/>
      <c r="M101" s="498"/>
    </row>
    <row r="102" spans="1:13" ht="15.5" x14ac:dyDescent="0.35">
      <c r="A102" s="498"/>
      <c r="B102" s="498"/>
      <c r="C102" s="498"/>
      <c r="D102" s="498"/>
      <c r="E102" s="498"/>
      <c r="F102" s="498"/>
      <c r="G102" s="498"/>
      <c r="H102" s="498"/>
      <c r="I102" s="498"/>
      <c r="J102" s="498"/>
      <c r="K102" s="498"/>
      <c r="L102" s="498"/>
      <c r="M102" s="498"/>
    </row>
    <row r="103" spans="1:13" ht="15.5" x14ac:dyDescent="0.35">
      <c r="A103" s="498"/>
      <c r="B103" s="498"/>
      <c r="C103" s="498"/>
      <c r="D103" s="498"/>
      <c r="E103" s="498"/>
      <c r="F103" s="498"/>
      <c r="G103" s="498"/>
      <c r="H103" s="498"/>
      <c r="I103" s="498"/>
      <c r="J103" s="498"/>
      <c r="K103" s="498"/>
      <c r="L103" s="498"/>
      <c r="M103" s="498"/>
    </row>
    <row r="104" spans="1:13" ht="15.5" x14ac:dyDescent="0.35">
      <c r="A104" s="498"/>
      <c r="B104" s="498"/>
      <c r="C104" s="498"/>
      <c r="D104" s="498"/>
      <c r="E104" s="498"/>
      <c r="F104" s="498"/>
      <c r="G104" s="498"/>
      <c r="H104" s="498"/>
      <c r="I104" s="498"/>
      <c r="J104" s="498"/>
      <c r="K104" s="498"/>
      <c r="L104" s="498"/>
      <c r="M104" s="498"/>
    </row>
    <row r="105" spans="1:13" ht="15.5" x14ac:dyDescent="0.35">
      <c r="A105" s="498"/>
      <c r="B105" s="498"/>
      <c r="C105" s="498"/>
      <c r="D105" s="498"/>
      <c r="E105" s="498"/>
      <c r="F105" s="498"/>
      <c r="G105" s="498"/>
      <c r="H105" s="498"/>
      <c r="I105" s="498"/>
      <c r="J105" s="498"/>
      <c r="K105" s="498"/>
      <c r="L105" s="498"/>
      <c r="M105" s="498"/>
    </row>
    <row r="106" spans="1:13" ht="15.5" x14ac:dyDescent="0.35">
      <c r="A106" s="498"/>
      <c r="B106" s="498"/>
      <c r="C106" s="498"/>
      <c r="D106" s="498"/>
      <c r="E106" s="498"/>
      <c r="F106" s="498"/>
      <c r="G106" s="498"/>
      <c r="H106" s="498"/>
      <c r="I106" s="498"/>
      <c r="J106" s="498"/>
      <c r="K106" s="498"/>
      <c r="L106" s="498"/>
      <c r="M106" s="498"/>
    </row>
    <row r="107" spans="1:13" ht="15.5" x14ac:dyDescent="0.35">
      <c r="A107" s="498"/>
      <c r="B107" s="498"/>
      <c r="C107" s="498"/>
      <c r="D107" s="498"/>
      <c r="E107" s="498"/>
      <c r="F107" s="498"/>
      <c r="G107" s="498"/>
      <c r="H107" s="498"/>
      <c r="I107" s="498"/>
      <c r="J107" s="498"/>
      <c r="K107" s="498"/>
      <c r="L107" s="498"/>
      <c r="M107" s="498"/>
    </row>
    <row r="108" spans="1:13" ht="15.5" x14ac:dyDescent="0.35">
      <c r="A108" s="498"/>
      <c r="B108" s="498"/>
      <c r="C108" s="498"/>
      <c r="D108" s="498"/>
      <c r="E108" s="498"/>
      <c r="F108" s="498"/>
      <c r="G108" s="498"/>
      <c r="H108" s="498"/>
      <c r="I108" s="498"/>
      <c r="J108" s="498"/>
      <c r="K108" s="498"/>
      <c r="L108" s="498"/>
      <c r="M108" s="498"/>
    </row>
    <row r="109" spans="1:13" ht="15.5" x14ac:dyDescent="0.35">
      <c r="A109" s="498"/>
      <c r="B109" s="498"/>
      <c r="C109" s="498"/>
      <c r="D109" s="498"/>
      <c r="E109" s="498"/>
      <c r="F109" s="498"/>
      <c r="G109" s="498"/>
      <c r="H109" s="498"/>
      <c r="I109" s="498"/>
      <c r="J109" s="498"/>
      <c r="K109" s="498"/>
      <c r="L109" s="498"/>
      <c r="M109" s="498"/>
    </row>
    <row r="110" spans="1:13" ht="15.5" x14ac:dyDescent="0.35">
      <c r="A110" s="498"/>
      <c r="B110" s="498"/>
      <c r="C110" s="498"/>
      <c r="D110" s="498"/>
      <c r="E110" s="498"/>
      <c r="F110" s="498"/>
      <c r="G110" s="498"/>
      <c r="H110" s="498"/>
      <c r="I110" s="498"/>
      <c r="J110" s="498"/>
      <c r="K110" s="498"/>
      <c r="L110" s="498"/>
      <c r="M110" s="498"/>
    </row>
    <row r="111" spans="1:13" ht="15.5" x14ac:dyDescent="0.35">
      <c r="A111" s="498"/>
      <c r="B111" s="498"/>
      <c r="C111" s="498"/>
      <c r="D111" s="498"/>
      <c r="E111" s="498"/>
      <c r="F111" s="498"/>
      <c r="G111" s="498"/>
      <c r="H111" s="498"/>
      <c r="I111" s="498"/>
      <c r="J111" s="498"/>
      <c r="K111" s="498"/>
      <c r="L111" s="498"/>
      <c r="M111" s="498"/>
    </row>
    <row r="112" spans="1:13" ht="15.5" x14ac:dyDescent="0.35">
      <c r="A112" s="498"/>
      <c r="B112" s="498"/>
      <c r="C112" s="498"/>
      <c r="D112" s="498"/>
      <c r="E112" s="498"/>
      <c r="F112" s="498"/>
      <c r="G112" s="498"/>
      <c r="H112" s="498"/>
      <c r="I112" s="498"/>
      <c r="J112" s="498"/>
      <c r="K112" s="498"/>
      <c r="L112" s="498"/>
      <c r="M112" s="498"/>
    </row>
    <row r="113" spans="1:13" ht="15.5" x14ac:dyDescent="0.35">
      <c r="A113" s="498"/>
      <c r="B113" s="498"/>
      <c r="C113" s="498"/>
      <c r="D113" s="498"/>
      <c r="E113" s="498"/>
      <c r="F113" s="498"/>
      <c r="G113" s="498"/>
      <c r="H113" s="498"/>
      <c r="I113" s="498"/>
      <c r="J113" s="498"/>
      <c r="K113" s="498"/>
      <c r="L113" s="498"/>
      <c r="M113" s="498"/>
    </row>
    <row r="114" spans="1:13" ht="15.5" x14ac:dyDescent="0.35">
      <c r="A114" s="498"/>
      <c r="B114" s="498"/>
      <c r="C114" s="498"/>
      <c r="D114" s="498"/>
      <c r="E114" s="498"/>
      <c r="F114" s="498"/>
      <c r="G114" s="498"/>
      <c r="H114" s="498"/>
      <c r="I114" s="498"/>
      <c r="J114" s="498"/>
      <c r="K114" s="498"/>
      <c r="L114" s="498"/>
      <c r="M114" s="498"/>
    </row>
    <row r="115" spans="1:13" ht="15.5" x14ac:dyDescent="0.35">
      <c r="A115" s="498"/>
      <c r="B115" s="498"/>
      <c r="C115" s="498"/>
      <c r="D115" s="498"/>
      <c r="E115" s="498"/>
      <c r="F115" s="498"/>
      <c r="G115" s="498"/>
      <c r="H115" s="498"/>
      <c r="I115" s="498"/>
      <c r="J115" s="498"/>
      <c r="K115" s="498"/>
      <c r="L115" s="498"/>
      <c r="M115" s="498"/>
    </row>
    <row r="116" spans="1:13" ht="15.5" x14ac:dyDescent="0.35">
      <c r="A116" s="498"/>
      <c r="B116" s="498"/>
      <c r="C116" s="498"/>
      <c r="D116" s="498"/>
      <c r="E116" s="498"/>
      <c r="F116" s="498"/>
      <c r="G116" s="498"/>
      <c r="H116" s="498"/>
      <c r="I116" s="498"/>
      <c r="J116" s="498"/>
      <c r="K116" s="498"/>
      <c r="L116" s="498"/>
      <c r="M116" s="498"/>
    </row>
    <row r="117" spans="1:13" ht="15.5" x14ac:dyDescent="0.35">
      <c r="A117" s="498"/>
      <c r="B117" s="498"/>
      <c r="C117" s="498"/>
      <c r="D117" s="498"/>
      <c r="E117" s="498"/>
      <c r="F117" s="498"/>
      <c r="G117" s="498"/>
      <c r="H117" s="498"/>
      <c r="I117" s="498"/>
      <c r="J117" s="498"/>
      <c r="K117" s="498"/>
      <c r="L117" s="498"/>
      <c r="M117" s="498"/>
    </row>
    <row r="118" spans="1:13" ht="15.5" x14ac:dyDescent="0.35">
      <c r="A118" s="498"/>
      <c r="B118" s="498"/>
      <c r="C118" s="498"/>
      <c r="D118" s="498"/>
      <c r="E118" s="498"/>
      <c r="F118" s="498"/>
      <c r="G118" s="498"/>
      <c r="H118" s="498"/>
      <c r="I118" s="498"/>
      <c r="J118" s="498"/>
      <c r="K118" s="498"/>
      <c r="L118" s="498"/>
      <c r="M118" s="498"/>
    </row>
    <row r="119" spans="1:13" ht="15.5" x14ac:dyDescent="0.35">
      <c r="A119" s="498"/>
      <c r="B119" s="498"/>
      <c r="C119" s="498"/>
      <c r="D119" s="498"/>
      <c r="E119" s="498"/>
      <c r="F119" s="498"/>
      <c r="G119" s="498"/>
      <c r="H119" s="498"/>
      <c r="I119" s="498"/>
      <c r="J119" s="498"/>
      <c r="K119" s="498"/>
      <c r="L119" s="498"/>
      <c r="M119" s="498"/>
    </row>
    <row r="120" spans="1:13" ht="15.5" x14ac:dyDescent="0.35">
      <c r="A120" s="498"/>
      <c r="B120" s="498"/>
      <c r="C120" s="498"/>
      <c r="D120" s="498"/>
      <c r="E120" s="498"/>
      <c r="F120" s="498"/>
      <c r="G120" s="498"/>
      <c r="H120" s="498"/>
      <c r="I120" s="498"/>
      <c r="J120" s="498"/>
      <c r="K120" s="498"/>
      <c r="L120" s="498"/>
      <c r="M120" s="498"/>
    </row>
    <row r="121" spans="1:13" ht="15.5" x14ac:dyDescent="0.35">
      <c r="A121" s="498"/>
      <c r="B121" s="498"/>
      <c r="C121" s="498"/>
      <c r="D121" s="498"/>
      <c r="E121" s="498"/>
      <c r="F121" s="498"/>
      <c r="G121" s="498"/>
      <c r="H121" s="498"/>
      <c r="I121" s="498"/>
      <c r="J121" s="498"/>
      <c r="K121" s="498"/>
      <c r="L121" s="498"/>
      <c r="M121" s="498"/>
    </row>
    <row r="122" spans="1:13" ht="15.5" x14ac:dyDescent="0.35">
      <c r="A122" s="498"/>
      <c r="B122" s="498"/>
      <c r="C122" s="498"/>
      <c r="D122" s="498"/>
      <c r="E122" s="498"/>
      <c r="F122" s="498"/>
      <c r="G122" s="498"/>
      <c r="H122" s="498"/>
      <c r="I122" s="498"/>
      <c r="J122" s="498"/>
      <c r="K122" s="498"/>
      <c r="L122" s="498"/>
      <c r="M122" s="498"/>
    </row>
    <row r="123" spans="1:13" ht="15.5" x14ac:dyDescent="0.35">
      <c r="A123" s="498"/>
      <c r="B123" s="498"/>
      <c r="C123" s="498"/>
      <c r="D123" s="498"/>
      <c r="E123" s="498"/>
      <c r="F123" s="498"/>
      <c r="G123" s="498"/>
      <c r="H123" s="498"/>
      <c r="I123" s="498"/>
      <c r="J123" s="498"/>
      <c r="K123" s="498"/>
      <c r="L123" s="498"/>
      <c r="M123" s="498"/>
    </row>
    <row r="124" spans="1:13" ht="15.5" x14ac:dyDescent="0.35">
      <c r="A124" s="498"/>
      <c r="B124" s="498"/>
      <c r="C124" s="498"/>
      <c r="D124" s="498"/>
      <c r="E124" s="498"/>
      <c r="F124" s="498"/>
      <c r="G124" s="498"/>
      <c r="H124" s="498"/>
      <c r="I124" s="498"/>
      <c r="J124" s="498"/>
      <c r="K124" s="498"/>
      <c r="L124" s="498"/>
      <c r="M124" s="498"/>
    </row>
    <row r="125" spans="1:13" ht="15.5" x14ac:dyDescent="0.35">
      <c r="A125" s="498"/>
      <c r="B125" s="498"/>
      <c r="C125" s="498"/>
      <c r="D125" s="498"/>
      <c r="E125" s="498"/>
      <c r="F125" s="498"/>
      <c r="G125" s="498"/>
      <c r="H125" s="498"/>
      <c r="I125" s="498"/>
      <c r="J125" s="498"/>
      <c r="K125" s="498"/>
      <c r="L125" s="498"/>
      <c r="M125" s="498"/>
    </row>
    <row r="126" spans="1:13" ht="15.5" x14ac:dyDescent="0.35">
      <c r="A126" s="498"/>
      <c r="B126" s="498"/>
      <c r="C126" s="498"/>
      <c r="D126" s="498"/>
      <c r="E126" s="498"/>
      <c r="F126" s="498"/>
      <c r="G126" s="498"/>
      <c r="H126" s="498"/>
      <c r="I126" s="498"/>
      <c r="J126" s="498"/>
      <c r="K126" s="498"/>
      <c r="L126" s="498"/>
      <c r="M126" s="498"/>
    </row>
    <row r="127" spans="1:13" ht="15.5" x14ac:dyDescent="0.35">
      <c r="A127" s="498"/>
      <c r="B127" s="498"/>
      <c r="C127" s="498"/>
      <c r="D127" s="498"/>
      <c r="E127" s="498"/>
      <c r="F127" s="498"/>
      <c r="G127" s="498"/>
      <c r="H127" s="498"/>
      <c r="I127" s="498"/>
      <c r="J127" s="498"/>
      <c r="K127" s="498"/>
      <c r="L127" s="498"/>
      <c r="M127" s="498"/>
    </row>
    <row r="128" spans="1:13" ht="15.5" x14ac:dyDescent="0.35">
      <c r="A128" s="498"/>
      <c r="B128" s="498"/>
      <c r="C128" s="498"/>
      <c r="D128" s="498"/>
      <c r="E128" s="498"/>
      <c r="F128" s="498"/>
      <c r="G128" s="498"/>
      <c r="H128" s="498"/>
      <c r="I128" s="498"/>
      <c r="J128" s="498"/>
      <c r="K128" s="498"/>
      <c r="L128" s="498"/>
      <c r="M128" s="498"/>
    </row>
    <row r="129" spans="1:13" ht="15.5" x14ac:dyDescent="0.35">
      <c r="A129" s="498"/>
      <c r="B129" s="498"/>
      <c r="C129" s="498"/>
      <c r="D129" s="498"/>
      <c r="E129" s="498"/>
      <c r="F129" s="498"/>
      <c r="G129" s="498"/>
      <c r="H129" s="498"/>
      <c r="I129" s="498"/>
      <c r="J129" s="498"/>
      <c r="K129" s="498"/>
      <c r="L129" s="498"/>
      <c r="M129" s="498"/>
    </row>
    <row r="130" spans="1:13" ht="15.5" x14ac:dyDescent="0.35">
      <c r="A130" s="498"/>
      <c r="B130" s="498"/>
      <c r="C130" s="498"/>
      <c r="D130" s="498"/>
      <c r="E130" s="498"/>
      <c r="F130" s="498"/>
      <c r="G130" s="498"/>
      <c r="H130" s="498"/>
      <c r="I130" s="498"/>
      <c r="J130" s="498"/>
      <c r="K130" s="498"/>
      <c r="L130" s="498"/>
      <c r="M130" s="498"/>
    </row>
    <row r="131" spans="1:13" ht="15.5" x14ac:dyDescent="0.35">
      <c r="A131" s="498"/>
      <c r="B131" s="498"/>
      <c r="C131" s="498"/>
      <c r="D131" s="498"/>
      <c r="E131" s="498"/>
      <c r="F131" s="498"/>
      <c r="G131" s="498"/>
      <c r="H131" s="498"/>
      <c r="I131" s="498"/>
      <c r="J131" s="498"/>
      <c r="K131" s="498"/>
      <c r="L131" s="498"/>
      <c r="M131" s="498"/>
    </row>
    <row r="132" spans="1:13" ht="15.5" x14ac:dyDescent="0.35">
      <c r="A132" s="498"/>
      <c r="B132" s="498"/>
      <c r="C132" s="498"/>
      <c r="D132" s="498"/>
      <c r="E132" s="498"/>
      <c r="F132" s="498"/>
      <c r="G132" s="498"/>
      <c r="H132" s="498"/>
      <c r="I132" s="498"/>
      <c r="J132" s="498"/>
      <c r="K132" s="498"/>
      <c r="L132" s="498"/>
      <c r="M132" s="498"/>
    </row>
    <row r="133" spans="1:13" ht="15.5" x14ac:dyDescent="0.35">
      <c r="A133" s="498"/>
      <c r="B133" s="498"/>
      <c r="C133" s="498"/>
      <c r="D133" s="498"/>
      <c r="E133" s="498"/>
      <c r="F133" s="498"/>
      <c r="G133" s="498"/>
      <c r="H133" s="498"/>
      <c r="I133" s="498"/>
      <c r="J133" s="498"/>
      <c r="K133" s="498"/>
      <c r="L133" s="498"/>
      <c r="M133" s="498"/>
    </row>
    <row r="134" spans="1:13" ht="15.5" x14ac:dyDescent="0.35">
      <c r="A134" s="498"/>
      <c r="B134" s="498"/>
      <c r="C134" s="498"/>
      <c r="D134" s="498"/>
      <c r="E134" s="498"/>
      <c r="F134" s="498"/>
      <c r="G134" s="498"/>
      <c r="H134" s="498"/>
      <c r="I134" s="498"/>
      <c r="J134" s="498"/>
      <c r="K134" s="498"/>
      <c r="L134" s="498"/>
      <c r="M134" s="498"/>
    </row>
    <row r="135" spans="1:13" ht="15.5" x14ac:dyDescent="0.35">
      <c r="A135" s="498"/>
      <c r="B135" s="498"/>
      <c r="C135" s="498"/>
      <c r="D135" s="498"/>
      <c r="E135" s="498"/>
      <c r="F135" s="498"/>
      <c r="G135" s="498"/>
      <c r="H135" s="498"/>
      <c r="I135" s="498"/>
      <c r="J135" s="498"/>
      <c r="K135" s="498"/>
      <c r="L135" s="498"/>
      <c r="M135" s="498"/>
    </row>
    <row r="136" spans="1:13" ht="15.5" x14ac:dyDescent="0.35">
      <c r="A136" s="498"/>
      <c r="B136" s="498"/>
      <c r="C136" s="498"/>
      <c r="D136" s="498"/>
      <c r="E136" s="498"/>
      <c r="F136" s="498"/>
      <c r="G136" s="498"/>
      <c r="H136" s="498"/>
      <c r="I136" s="498"/>
      <c r="J136" s="498"/>
      <c r="K136" s="498"/>
      <c r="L136" s="498"/>
      <c r="M136" s="498"/>
    </row>
    <row r="137" spans="1:13" ht="15.5" x14ac:dyDescent="0.35">
      <c r="A137" s="498"/>
      <c r="B137" s="498"/>
      <c r="C137" s="498"/>
      <c r="D137" s="498"/>
      <c r="E137" s="498"/>
      <c r="F137" s="498"/>
      <c r="G137" s="498"/>
      <c r="H137" s="498"/>
      <c r="I137" s="498"/>
      <c r="J137" s="498"/>
      <c r="K137" s="498"/>
      <c r="L137" s="498"/>
      <c r="M137" s="498"/>
    </row>
    <row r="138" spans="1:13" ht="15.5" x14ac:dyDescent="0.35">
      <c r="A138" s="498"/>
      <c r="B138" s="498"/>
      <c r="C138" s="498"/>
      <c r="D138" s="498"/>
      <c r="E138" s="498"/>
      <c r="F138" s="498"/>
      <c r="G138" s="498"/>
      <c r="H138" s="498"/>
      <c r="I138" s="498"/>
      <c r="J138" s="498"/>
      <c r="K138" s="498"/>
      <c r="L138" s="498"/>
      <c r="M138" s="498"/>
    </row>
    <row r="139" spans="1:13" ht="15.5" x14ac:dyDescent="0.35">
      <c r="A139" s="498"/>
      <c r="B139" s="498"/>
      <c r="C139" s="498"/>
      <c r="D139" s="498"/>
      <c r="E139" s="498"/>
      <c r="F139" s="498"/>
      <c r="G139" s="498"/>
      <c r="H139" s="498"/>
      <c r="I139" s="498"/>
      <c r="J139" s="498"/>
      <c r="K139" s="498"/>
      <c r="L139" s="498"/>
      <c r="M139" s="498"/>
    </row>
    <row r="140" spans="1:13" ht="15.5" x14ac:dyDescent="0.35">
      <c r="A140" s="498"/>
      <c r="B140" s="498"/>
      <c r="C140" s="498"/>
      <c r="D140" s="498"/>
      <c r="E140" s="498"/>
      <c r="F140" s="498"/>
      <c r="G140" s="498"/>
      <c r="H140" s="498"/>
      <c r="I140" s="498"/>
      <c r="J140" s="498"/>
      <c r="K140" s="498"/>
      <c r="L140" s="498"/>
      <c r="M140" s="498"/>
    </row>
    <row r="141" spans="1:13" ht="15.5" x14ac:dyDescent="0.35">
      <c r="A141" s="498"/>
      <c r="B141" s="498"/>
      <c r="C141" s="498"/>
      <c r="D141" s="498"/>
      <c r="E141" s="498"/>
      <c r="F141" s="498"/>
      <c r="G141" s="498"/>
      <c r="H141" s="498"/>
      <c r="I141" s="498"/>
      <c r="J141" s="498"/>
      <c r="K141" s="498"/>
      <c r="L141" s="498"/>
      <c r="M141" s="498"/>
    </row>
    <row r="142" spans="1:13" ht="15.5" x14ac:dyDescent="0.35">
      <c r="A142" s="498"/>
      <c r="B142" s="498"/>
      <c r="C142" s="498"/>
      <c r="D142" s="498"/>
      <c r="E142" s="498"/>
      <c r="F142" s="498"/>
      <c r="G142" s="498"/>
      <c r="H142" s="498"/>
      <c r="I142" s="498"/>
      <c r="J142" s="498"/>
      <c r="K142" s="498"/>
      <c r="L142" s="498"/>
      <c r="M142" s="498"/>
    </row>
    <row r="143" spans="1:13" ht="15.5" x14ac:dyDescent="0.35">
      <c r="A143" s="498"/>
      <c r="B143" s="498"/>
      <c r="C143" s="498"/>
      <c r="D143" s="498"/>
      <c r="E143" s="498"/>
      <c r="F143" s="498"/>
      <c r="G143" s="498"/>
      <c r="H143" s="498"/>
      <c r="I143" s="498"/>
      <c r="J143" s="498"/>
      <c r="K143" s="498"/>
      <c r="L143" s="498"/>
      <c r="M143" s="498"/>
    </row>
    <row r="144" spans="1:13" ht="15.5" x14ac:dyDescent="0.35">
      <c r="A144" s="498"/>
      <c r="B144" s="498"/>
      <c r="C144" s="498"/>
      <c r="D144" s="498"/>
      <c r="E144" s="498"/>
      <c r="F144" s="498"/>
      <c r="G144" s="498"/>
      <c r="H144" s="498"/>
      <c r="I144" s="498"/>
      <c r="J144" s="498"/>
      <c r="K144" s="498"/>
      <c r="L144" s="498"/>
      <c r="M144" s="498"/>
    </row>
    <row r="145" spans="1:13" ht="15.5" x14ac:dyDescent="0.35">
      <c r="A145" s="498"/>
      <c r="B145" s="498"/>
      <c r="C145" s="498"/>
      <c r="D145" s="498"/>
      <c r="E145" s="498"/>
      <c r="F145" s="498"/>
      <c r="G145" s="498"/>
      <c r="H145" s="498"/>
      <c r="I145" s="498"/>
      <c r="J145" s="498"/>
      <c r="K145" s="498"/>
      <c r="L145" s="498"/>
      <c r="M145" s="498"/>
    </row>
    <row r="146" spans="1:13" ht="15.5" x14ac:dyDescent="0.35">
      <c r="A146" s="498"/>
      <c r="B146" s="498"/>
      <c r="C146" s="498"/>
      <c r="D146" s="498"/>
      <c r="E146" s="498"/>
      <c r="F146" s="498"/>
      <c r="G146" s="498"/>
      <c r="H146" s="498"/>
      <c r="I146" s="498"/>
      <c r="J146" s="498"/>
      <c r="K146" s="498"/>
      <c r="L146" s="498"/>
      <c r="M146" s="498"/>
    </row>
    <row r="147" spans="1:13" ht="15.5" x14ac:dyDescent="0.35">
      <c r="A147" s="498"/>
      <c r="B147" s="498"/>
      <c r="C147" s="498"/>
      <c r="D147" s="498"/>
      <c r="E147" s="498"/>
      <c r="F147" s="498"/>
      <c r="G147" s="498"/>
      <c r="H147" s="498"/>
      <c r="I147" s="498"/>
      <c r="J147" s="498"/>
      <c r="K147" s="498"/>
      <c r="L147" s="498"/>
      <c r="M147" s="498"/>
    </row>
    <row r="148" spans="1:13" ht="15.5" x14ac:dyDescent="0.35">
      <c r="A148" s="498"/>
      <c r="B148" s="498"/>
      <c r="C148" s="498"/>
      <c r="D148" s="498"/>
      <c r="E148" s="498"/>
      <c r="F148" s="498"/>
      <c r="G148" s="498"/>
      <c r="H148" s="498"/>
      <c r="I148" s="498"/>
      <c r="J148" s="498"/>
      <c r="K148" s="498"/>
      <c r="L148" s="498"/>
      <c r="M148" s="498"/>
    </row>
    <row r="149" spans="1:13" ht="15.5" x14ac:dyDescent="0.35">
      <c r="A149" s="498"/>
      <c r="B149" s="498"/>
      <c r="C149" s="498"/>
      <c r="D149" s="498"/>
      <c r="E149" s="498"/>
      <c r="F149" s="498"/>
      <c r="G149" s="498"/>
      <c r="H149" s="498"/>
      <c r="I149" s="498"/>
      <c r="J149" s="498"/>
      <c r="K149" s="498"/>
      <c r="L149" s="498"/>
      <c r="M149" s="498"/>
    </row>
    <row r="150" spans="1:13" ht="15.5" x14ac:dyDescent="0.35">
      <c r="A150" s="498"/>
      <c r="B150" s="498"/>
      <c r="C150" s="498"/>
      <c r="D150" s="498"/>
      <c r="E150" s="498"/>
      <c r="F150" s="498"/>
      <c r="G150" s="498"/>
      <c r="H150" s="498"/>
      <c r="I150" s="498"/>
      <c r="J150" s="498"/>
      <c r="K150" s="498"/>
      <c r="L150" s="498"/>
      <c r="M150" s="498"/>
    </row>
    <row r="151" spans="1:13" ht="15.5" x14ac:dyDescent="0.35">
      <c r="A151" s="498"/>
      <c r="B151" s="498"/>
      <c r="C151" s="498"/>
      <c r="D151" s="498"/>
      <c r="E151" s="498"/>
      <c r="F151" s="498"/>
      <c r="G151" s="498"/>
      <c r="H151" s="498"/>
      <c r="I151" s="498"/>
      <c r="J151" s="498"/>
      <c r="K151" s="498"/>
      <c r="L151" s="498"/>
      <c r="M151" s="498"/>
    </row>
    <row r="152" spans="1:13" ht="15.5" x14ac:dyDescent="0.35">
      <c r="A152" s="498"/>
      <c r="B152" s="498"/>
      <c r="C152" s="498"/>
      <c r="D152" s="498"/>
      <c r="E152" s="498"/>
      <c r="F152" s="498"/>
      <c r="G152" s="498"/>
      <c r="H152" s="498"/>
      <c r="I152" s="498"/>
      <c r="J152" s="498"/>
      <c r="K152" s="498"/>
      <c r="L152" s="498"/>
      <c r="M152" s="498"/>
    </row>
    <row r="153" spans="1:13" ht="15.5" x14ac:dyDescent="0.35">
      <c r="A153" s="498"/>
      <c r="B153" s="498"/>
      <c r="C153" s="498"/>
      <c r="D153" s="498"/>
      <c r="E153" s="498"/>
      <c r="F153" s="498"/>
      <c r="G153" s="498"/>
      <c r="H153" s="498"/>
      <c r="I153" s="498"/>
      <c r="J153" s="498"/>
      <c r="K153" s="498"/>
      <c r="L153" s="498"/>
      <c r="M153" s="498"/>
    </row>
    <row r="154" spans="1:13" ht="15.5" x14ac:dyDescent="0.35">
      <c r="A154" s="498"/>
      <c r="B154" s="498"/>
      <c r="C154" s="498"/>
      <c r="D154" s="498"/>
      <c r="E154" s="498"/>
      <c r="F154" s="498"/>
      <c r="G154" s="498"/>
      <c r="H154" s="498"/>
      <c r="I154" s="498"/>
      <c r="J154" s="498"/>
      <c r="K154" s="498"/>
      <c r="L154" s="498"/>
      <c r="M154" s="498"/>
    </row>
    <row r="155" spans="1:13" ht="15.5" x14ac:dyDescent="0.35">
      <c r="A155" s="498"/>
      <c r="B155" s="498"/>
      <c r="C155" s="498"/>
      <c r="D155" s="498"/>
      <c r="E155" s="498"/>
      <c r="F155" s="498"/>
      <c r="G155" s="498"/>
      <c r="H155" s="498"/>
      <c r="I155" s="498"/>
      <c r="J155" s="498"/>
      <c r="K155" s="498"/>
      <c r="L155" s="498"/>
      <c r="M155" s="498"/>
    </row>
    <row r="156" spans="1:13" ht="15.5" x14ac:dyDescent="0.35">
      <c r="A156" s="498"/>
      <c r="B156" s="498"/>
      <c r="C156" s="498"/>
      <c r="D156" s="498"/>
      <c r="E156" s="498"/>
      <c r="F156" s="498"/>
      <c r="G156" s="498"/>
      <c r="H156" s="498"/>
      <c r="I156" s="498"/>
      <c r="J156" s="498"/>
      <c r="K156" s="498"/>
      <c r="L156" s="498"/>
      <c r="M156" s="498"/>
    </row>
    <row r="157" spans="1:13" ht="15.5" x14ac:dyDescent="0.35">
      <c r="A157" s="498"/>
      <c r="B157" s="498"/>
      <c r="C157" s="498"/>
      <c r="D157" s="498"/>
      <c r="E157" s="498"/>
      <c r="F157" s="498"/>
      <c r="G157" s="498"/>
      <c r="H157" s="498"/>
      <c r="I157" s="498"/>
      <c r="J157" s="498"/>
      <c r="K157" s="498"/>
      <c r="L157" s="498"/>
      <c r="M157" s="498"/>
    </row>
    <row r="158" spans="1:13" ht="15.5" x14ac:dyDescent="0.35">
      <c r="A158" s="498"/>
      <c r="B158" s="498"/>
      <c r="C158" s="498"/>
      <c r="D158" s="498"/>
      <c r="E158" s="498"/>
      <c r="F158" s="498"/>
      <c r="G158" s="498"/>
      <c r="H158" s="498"/>
      <c r="I158" s="498"/>
      <c r="J158" s="498"/>
      <c r="K158" s="498"/>
      <c r="L158" s="498"/>
      <c r="M158" s="498"/>
    </row>
    <row r="159" spans="1:13" ht="15.5" x14ac:dyDescent="0.35">
      <c r="A159" s="498"/>
      <c r="B159" s="498"/>
      <c r="C159" s="498"/>
      <c r="D159" s="498"/>
      <c r="E159" s="498"/>
      <c r="F159" s="498"/>
      <c r="G159" s="498"/>
      <c r="H159" s="498"/>
      <c r="I159" s="498"/>
      <c r="J159" s="498"/>
      <c r="K159" s="498"/>
      <c r="L159" s="498"/>
      <c r="M159" s="498"/>
    </row>
    <row r="160" spans="1:13" ht="15.5" x14ac:dyDescent="0.35">
      <c r="A160" s="498"/>
      <c r="B160" s="498"/>
      <c r="C160" s="498"/>
      <c r="D160" s="498"/>
      <c r="E160" s="498"/>
      <c r="F160" s="498"/>
      <c r="G160" s="498"/>
      <c r="H160" s="498"/>
      <c r="I160" s="498"/>
      <c r="J160" s="498"/>
      <c r="K160" s="498"/>
      <c r="L160" s="498"/>
      <c r="M160" s="498"/>
    </row>
    <row r="161" spans="1:13" ht="15.5" x14ac:dyDescent="0.35">
      <c r="A161" s="498"/>
      <c r="B161" s="498"/>
      <c r="C161" s="498"/>
      <c r="D161" s="498"/>
      <c r="E161" s="498"/>
      <c r="F161" s="498"/>
      <c r="G161" s="498"/>
      <c r="H161" s="498"/>
      <c r="I161" s="498"/>
      <c r="J161" s="498"/>
      <c r="K161" s="498"/>
      <c r="L161" s="498"/>
      <c r="M161" s="498"/>
    </row>
    <row r="162" spans="1:13" ht="15.5" x14ac:dyDescent="0.35">
      <c r="A162" s="498"/>
      <c r="B162" s="498"/>
      <c r="C162" s="498"/>
      <c r="D162" s="498"/>
      <c r="E162" s="498"/>
      <c r="F162" s="498"/>
      <c r="G162" s="498"/>
      <c r="H162" s="498"/>
      <c r="I162" s="498"/>
      <c r="J162" s="498"/>
      <c r="K162" s="498"/>
      <c r="L162" s="498"/>
      <c r="M162" s="498"/>
    </row>
    <row r="163" spans="1:13" ht="15.5" x14ac:dyDescent="0.35">
      <c r="A163" s="498"/>
      <c r="B163" s="498"/>
      <c r="C163" s="498"/>
      <c r="D163" s="498"/>
      <c r="E163" s="498"/>
      <c r="F163" s="498"/>
      <c r="G163" s="498"/>
      <c r="H163" s="498"/>
      <c r="I163" s="498"/>
      <c r="J163" s="498"/>
      <c r="K163" s="498"/>
      <c r="L163" s="498"/>
      <c r="M163" s="498"/>
    </row>
    <row r="164" spans="1:13" ht="15.5" x14ac:dyDescent="0.35">
      <c r="A164" s="498"/>
      <c r="B164" s="498"/>
      <c r="C164" s="498"/>
      <c r="D164" s="498"/>
      <c r="E164" s="498"/>
      <c r="F164" s="498"/>
      <c r="G164" s="498"/>
      <c r="H164" s="498"/>
      <c r="I164" s="498"/>
      <c r="J164" s="498"/>
      <c r="K164" s="498"/>
      <c r="L164" s="498"/>
      <c r="M164" s="498"/>
    </row>
    <row r="165" spans="1:13" ht="15.5" x14ac:dyDescent="0.35">
      <c r="A165" s="498"/>
      <c r="B165" s="498"/>
      <c r="C165" s="498"/>
      <c r="D165" s="498"/>
      <c r="E165" s="498"/>
      <c r="F165" s="498"/>
      <c r="G165" s="498"/>
      <c r="H165" s="498"/>
      <c r="I165" s="498"/>
      <c r="J165" s="498"/>
      <c r="K165" s="498"/>
      <c r="L165" s="498"/>
      <c r="M165" s="498"/>
    </row>
    <row r="166" spans="1:13" ht="15.5" x14ac:dyDescent="0.35">
      <c r="A166" s="498"/>
      <c r="B166" s="498"/>
      <c r="C166" s="498"/>
      <c r="D166" s="498"/>
      <c r="E166" s="498"/>
      <c r="F166" s="498"/>
      <c r="G166" s="498"/>
      <c r="H166" s="498"/>
      <c r="I166" s="498"/>
      <c r="J166" s="498"/>
      <c r="K166" s="498"/>
      <c r="L166" s="498"/>
      <c r="M166" s="498"/>
    </row>
    <row r="167" spans="1:13" ht="15.5" x14ac:dyDescent="0.35">
      <c r="A167" s="498"/>
      <c r="B167" s="498"/>
      <c r="C167" s="498"/>
      <c r="D167" s="498"/>
      <c r="E167" s="498"/>
      <c r="F167" s="498"/>
      <c r="G167" s="498"/>
      <c r="H167" s="498"/>
      <c r="I167" s="498"/>
      <c r="J167" s="498"/>
      <c r="K167" s="498"/>
      <c r="L167" s="498"/>
      <c r="M167" s="498"/>
    </row>
    <row r="168" spans="1:13" ht="15.5" x14ac:dyDescent="0.35">
      <c r="A168" s="498"/>
      <c r="B168" s="498"/>
      <c r="C168" s="498"/>
      <c r="D168" s="498"/>
      <c r="E168" s="498"/>
      <c r="F168" s="498"/>
      <c r="G168" s="498"/>
      <c r="H168" s="498"/>
      <c r="I168" s="498"/>
      <c r="J168" s="498"/>
      <c r="K168" s="498"/>
      <c r="L168" s="498"/>
      <c r="M168" s="498"/>
    </row>
    <row r="169" spans="1:13" ht="15.5" x14ac:dyDescent="0.35">
      <c r="A169" s="498"/>
      <c r="B169" s="498"/>
      <c r="C169" s="498"/>
      <c r="D169" s="498"/>
      <c r="E169" s="498"/>
      <c r="F169" s="498"/>
      <c r="G169" s="498"/>
      <c r="H169" s="498"/>
      <c r="I169" s="498"/>
      <c r="J169" s="498"/>
      <c r="K169" s="498"/>
      <c r="L169" s="498"/>
      <c r="M169" s="498"/>
    </row>
    <row r="170" spans="1:13" ht="15.5" x14ac:dyDescent="0.35">
      <c r="A170" s="498"/>
      <c r="B170" s="498"/>
      <c r="C170" s="498"/>
      <c r="D170" s="498"/>
      <c r="E170" s="498"/>
      <c r="F170" s="498"/>
      <c r="G170" s="498"/>
      <c r="H170" s="498"/>
      <c r="I170" s="498"/>
      <c r="J170" s="498"/>
      <c r="K170" s="498"/>
      <c r="L170" s="498"/>
      <c r="M170" s="498"/>
    </row>
    <row r="171" spans="1:13" ht="15.5" x14ac:dyDescent="0.35">
      <c r="A171" s="498"/>
      <c r="B171" s="498"/>
      <c r="C171" s="498"/>
      <c r="D171" s="498"/>
      <c r="E171" s="498"/>
      <c r="F171" s="498"/>
      <c r="G171" s="498"/>
      <c r="H171" s="498"/>
      <c r="I171" s="498"/>
      <c r="J171" s="498"/>
      <c r="K171" s="498"/>
      <c r="L171" s="498"/>
      <c r="M171" s="498"/>
    </row>
    <row r="172" spans="1:13" ht="15.5" x14ac:dyDescent="0.35">
      <c r="A172" s="498"/>
      <c r="B172" s="498"/>
      <c r="C172" s="498"/>
      <c r="D172" s="498"/>
      <c r="E172" s="498"/>
      <c r="F172" s="498"/>
      <c r="G172" s="498"/>
      <c r="H172" s="498"/>
      <c r="I172" s="498"/>
      <c r="J172" s="498"/>
      <c r="K172" s="498"/>
      <c r="L172" s="498"/>
      <c r="M172" s="498"/>
    </row>
    <row r="173" spans="1:13" ht="15.5" x14ac:dyDescent="0.35">
      <c r="A173" s="498"/>
      <c r="B173" s="498"/>
      <c r="C173" s="498"/>
      <c r="D173" s="498"/>
      <c r="E173" s="498"/>
      <c r="F173" s="498"/>
      <c r="G173" s="498"/>
      <c r="H173" s="498"/>
      <c r="I173" s="498"/>
      <c r="J173" s="498"/>
      <c r="K173" s="498"/>
      <c r="L173" s="498"/>
      <c r="M173" s="498"/>
    </row>
    <row r="174" spans="1:13" ht="15.5" x14ac:dyDescent="0.35">
      <c r="A174" s="498"/>
      <c r="B174" s="498"/>
      <c r="C174" s="498"/>
      <c r="D174" s="498"/>
      <c r="E174" s="498"/>
      <c r="F174" s="498"/>
      <c r="G174" s="498"/>
      <c r="H174" s="498"/>
      <c r="I174" s="498"/>
      <c r="J174" s="498"/>
      <c r="K174" s="498"/>
      <c r="L174" s="498"/>
      <c r="M174" s="498"/>
    </row>
    <row r="175" spans="1:13" ht="15.5" x14ac:dyDescent="0.35">
      <c r="A175" s="498"/>
      <c r="B175" s="498"/>
      <c r="C175" s="498"/>
      <c r="D175" s="498"/>
      <c r="E175" s="498"/>
      <c r="F175" s="498"/>
      <c r="G175" s="498"/>
      <c r="H175" s="498"/>
      <c r="I175" s="498"/>
      <c r="J175" s="498"/>
      <c r="K175" s="498"/>
      <c r="L175" s="498"/>
      <c r="M175" s="498"/>
    </row>
    <row r="176" spans="1:13" ht="15.5" x14ac:dyDescent="0.35">
      <c r="A176" s="498"/>
      <c r="B176" s="498"/>
      <c r="C176" s="498"/>
      <c r="D176" s="498"/>
      <c r="E176" s="498"/>
      <c r="F176" s="498"/>
      <c r="G176" s="498"/>
      <c r="H176" s="498"/>
      <c r="I176" s="498"/>
      <c r="J176" s="498"/>
      <c r="K176" s="498"/>
      <c r="L176" s="498"/>
      <c r="M176" s="498"/>
    </row>
    <row r="177" spans="1:13" ht="15.5" x14ac:dyDescent="0.35">
      <c r="A177" s="498"/>
      <c r="B177" s="498"/>
      <c r="C177" s="498"/>
      <c r="D177" s="498"/>
      <c r="E177" s="498"/>
      <c r="F177" s="498"/>
      <c r="G177" s="498"/>
      <c r="H177" s="498"/>
      <c r="I177" s="498"/>
      <c r="J177" s="498"/>
      <c r="K177" s="498"/>
      <c r="L177" s="498"/>
      <c r="M177" s="498"/>
    </row>
    <row r="178" spans="1:13" ht="15.5" x14ac:dyDescent="0.35">
      <c r="A178" s="498"/>
      <c r="B178" s="498"/>
      <c r="C178" s="498"/>
      <c r="D178" s="498"/>
      <c r="E178" s="498"/>
      <c r="F178" s="498"/>
      <c r="G178" s="498"/>
      <c r="H178" s="498"/>
      <c r="I178" s="498"/>
      <c r="J178" s="498"/>
      <c r="K178" s="498"/>
      <c r="L178" s="498"/>
      <c r="M178" s="498"/>
    </row>
    <row r="179" spans="1:13" ht="15.5" x14ac:dyDescent="0.35">
      <c r="A179" s="498"/>
      <c r="B179" s="498"/>
      <c r="C179" s="498"/>
      <c r="D179" s="498"/>
      <c r="E179" s="498"/>
      <c r="F179" s="498"/>
      <c r="G179" s="498"/>
      <c r="H179" s="498"/>
      <c r="I179" s="498"/>
      <c r="J179" s="498"/>
      <c r="K179" s="498"/>
      <c r="L179" s="498"/>
      <c r="M179" s="498"/>
    </row>
    <row r="180" spans="1:13" ht="15.5" x14ac:dyDescent="0.35">
      <c r="A180" s="498"/>
      <c r="B180" s="498"/>
      <c r="C180" s="498"/>
      <c r="D180" s="498"/>
      <c r="E180" s="498"/>
      <c r="F180" s="498"/>
      <c r="G180" s="498"/>
      <c r="H180" s="498"/>
      <c r="I180" s="498"/>
      <c r="J180" s="498"/>
      <c r="K180" s="498"/>
      <c r="L180" s="498"/>
      <c r="M180" s="498"/>
    </row>
    <row r="181" spans="1:13" ht="15.5" x14ac:dyDescent="0.35">
      <c r="A181" s="498"/>
      <c r="B181" s="498"/>
      <c r="C181" s="498"/>
      <c r="D181" s="498"/>
      <c r="E181" s="498"/>
      <c r="F181" s="498"/>
      <c r="G181" s="498"/>
      <c r="H181" s="498"/>
      <c r="I181" s="498"/>
      <c r="J181" s="498"/>
      <c r="K181" s="498"/>
      <c r="L181" s="498"/>
      <c r="M181" s="498"/>
    </row>
    <row r="182" spans="1:13" ht="15.5" x14ac:dyDescent="0.35">
      <c r="A182" s="498"/>
      <c r="B182" s="498"/>
      <c r="C182" s="498"/>
      <c r="D182" s="498"/>
      <c r="E182" s="498"/>
      <c r="F182" s="498"/>
      <c r="G182" s="498"/>
      <c r="H182" s="498"/>
      <c r="I182" s="498"/>
      <c r="J182" s="498"/>
      <c r="K182" s="498"/>
      <c r="L182" s="498"/>
      <c r="M182" s="498"/>
    </row>
    <row r="183" spans="1:13" ht="15.5" x14ac:dyDescent="0.35">
      <c r="A183" s="498"/>
      <c r="B183" s="498"/>
      <c r="C183" s="498"/>
      <c r="D183" s="498"/>
      <c r="E183" s="498"/>
      <c r="F183" s="498"/>
      <c r="G183" s="498"/>
      <c r="H183" s="498"/>
      <c r="I183" s="498"/>
      <c r="J183" s="498"/>
      <c r="K183" s="498"/>
      <c r="L183" s="498"/>
      <c r="M183" s="498"/>
    </row>
    <row r="184" spans="1:13" ht="15.5" x14ac:dyDescent="0.35">
      <c r="A184" s="498"/>
      <c r="B184" s="498"/>
      <c r="C184" s="498"/>
      <c r="D184" s="498"/>
      <c r="E184" s="498"/>
      <c r="F184" s="498"/>
      <c r="G184" s="498"/>
      <c r="H184" s="498"/>
      <c r="I184" s="498"/>
      <c r="J184" s="498"/>
      <c r="K184" s="498"/>
      <c r="L184" s="498"/>
      <c r="M184" s="498"/>
    </row>
    <row r="185" spans="1:13" ht="15.5" x14ac:dyDescent="0.35">
      <c r="A185" s="498"/>
      <c r="B185" s="498"/>
      <c r="C185" s="498"/>
      <c r="D185" s="498"/>
      <c r="E185" s="498"/>
      <c r="F185" s="498"/>
      <c r="G185" s="498"/>
      <c r="H185" s="498"/>
      <c r="I185" s="498"/>
      <c r="J185" s="498"/>
      <c r="K185" s="498"/>
      <c r="L185" s="498"/>
      <c r="M185" s="498"/>
    </row>
    <row r="186" spans="1:13" ht="15.5" x14ac:dyDescent="0.35">
      <c r="A186" s="498"/>
      <c r="B186" s="498"/>
      <c r="C186" s="498"/>
      <c r="D186" s="498"/>
      <c r="E186" s="498"/>
      <c r="F186" s="498"/>
      <c r="G186" s="498"/>
      <c r="H186" s="498"/>
      <c r="I186" s="498"/>
      <c r="J186" s="498"/>
      <c r="K186" s="498"/>
      <c r="L186" s="498"/>
      <c r="M186" s="498"/>
    </row>
    <row r="187" spans="1:13" ht="15.5" x14ac:dyDescent="0.35">
      <c r="A187" s="498"/>
      <c r="B187" s="498"/>
      <c r="C187" s="498"/>
      <c r="D187" s="498"/>
      <c r="E187" s="498"/>
      <c r="F187" s="498"/>
      <c r="G187" s="498"/>
      <c r="H187" s="498"/>
      <c r="I187" s="498"/>
      <c r="J187" s="498"/>
      <c r="K187" s="498"/>
      <c r="L187" s="498"/>
      <c r="M187" s="498"/>
    </row>
    <row r="188" spans="1:13" ht="15.5" x14ac:dyDescent="0.35">
      <c r="A188" s="498"/>
      <c r="B188" s="498"/>
      <c r="C188" s="498"/>
      <c r="D188" s="498"/>
      <c r="E188" s="498"/>
      <c r="F188" s="498"/>
      <c r="G188" s="498"/>
      <c r="H188" s="498"/>
      <c r="I188" s="498"/>
      <c r="J188" s="498"/>
      <c r="K188" s="498"/>
      <c r="L188" s="498"/>
      <c r="M188" s="498"/>
    </row>
    <row r="189" spans="1:13" ht="15.5" x14ac:dyDescent="0.35">
      <c r="A189" s="498"/>
      <c r="B189" s="498"/>
      <c r="C189" s="498"/>
      <c r="D189" s="498"/>
      <c r="E189" s="498"/>
      <c r="F189" s="498"/>
      <c r="G189" s="498"/>
      <c r="H189" s="498"/>
      <c r="I189" s="498"/>
      <c r="J189" s="498"/>
      <c r="K189" s="498"/>
      <c r="L189" s="498"/>
      <c r="M189" s="498"/>
    </row>
    <row r="190" spans="1:13" ht="15.5" x14ac:dyDescent="0.35">
      <c r="A190" s="498"/>
      <c r="B190" s="498"/>
      <c r="C190" s="498"/>
      <c r="D190" s="498"/>
      <c r="E190" s="498"/>
      <c r="F190" s="498"/>
      <c r="G190" s="498"/>
      <c r="H190" s="498"/>
      <c r="I190" s="498"/>
      <c r="J190" s="498"/>
      <c r="K190" s="498"/>
      <c r="L190" s="498"/>
      <c r="M190" s="498"/>
    </row>
    <row r="191" spans="1:13" ht="15.5" x14ac:dyDescent="0.35">
      <c r="A191" s="498"/>
      <c r="B191" s="498"/>
      <c r="C191" s="498"/>
      <c r="D191" s="498"/>
      <c r="E191" s="498"/>
      <c r="F191" s="498"/>
      <c r="G191" s="498"/>
      <c r="H191" s="498"/>
      <c r="I191" s="498"/>
      <c r="J191" s="498"/>
      <c r="K191" s="498"/>
      <c r="L191" s="498"/>
      <c r="M191" s="498"/>
    </row>
    <row r="192" spans="1:13" ht="15.5" x14ac:dyDescent="0.35">
      <c r="A192" s="498"/>
      <c r="B192" s="498"/>
      <c r="C192" s="498"/>
      <c r="D192" s="498"/>
      <c r="E192" s="498"/>
      <c r="F192" s="498"/>
      <c r="G192" s="498"/>
      <c r="H192" s="498"/>
      <c r="I192" s="498"/>
      <c r="J192" s="498"/>
      <c r="K192" s="498"/>
      <c r="L192" s="498"/>
      <c r="M192" s="498"/>
    </row>
    <row r="193" spans="1:13" ht="15.5" x14ac:dyDescent="0.35">
      <c r="A193" s="498"/>
      <c r="B193" s="498"/>
      <c r="C193" s="498"/>
      <c r="D193" s="498"/>
      <c r="E193" s="498"/>
      <c r="F193" s="498"/>
      <c r="G193" s="498"/>
      <c r="H193" s="498"/>
      <c r="I193" s="498"/>
      <c r="J193" s="498"/>
      <c r="K193" s="498"/>
      <c r="L193" s="498"/>
      <c r="M193" s="498"/>
    </row>
    <row r="194" spans="1:13" ht="15.5" x14ac:dyDescent="0.35">
      <c r="A194" s="498"/>
      <c r="B194" s="498"/>
      <c r="C194" s="498"/>
      <c r="D194" s="498"/>
      <c r="E194" s="498"/>
      <c r="F194" s="498"/>
      <c r="G194" s="498"/>
      <c r="H194" s="498"/>
      <c r="I194" s="498"/>
      <c r="J194" s="498"/>
      <c r="K194" s="498"/>
      <c r="L194" s="498"/>
      <c r="M194" s="498"/>
    </row>
    <row r="195" spans="1:13" ht="15.5" x14ac:dyDescent="0.35">
      <c r="A195" s="498"/>
      <c r="B195" s="498"/>
      <c r="C195" s="498"/>
      <c r="D195" s="498"/>
      <c r="E195" s="498"/>
      <c r="F195" s="498"/>
      <c r="G195" s="498"/>
      <c r="H195" s="498"/>
      <c r="I195" s="498"/>
      <c r="J195" s="498"/>
      <c r="K195" s="498"/>
      <c r="L195" s="498"/>
      <c r="M195" s="498"/>
    </row>
    <row r="196" spans="1:13" ht="15.5" x14ac:dyDescent="0.35">
      <c r="A196" s="498"/>
      <c r="B196" s="498"/>
      <c r="C196" s="498"/>
      <c r="D196" s="498"/>
      <c r="E196" s="498"/>
      <c r="F196" s="498"/>
      <c r="G196" s="498"/>
      <c r="H196" s="498"/>
      <c r="I196" s="498"/>
      <c r="J196" s="498"/>
      <c r="K196" s="498"/>
      <c r="L196" s="498"/>
      <c r="M196" s="498"/>
    </row>
    <row r="197" spans="1:13" ht="15.5" x14ac:dyDescent="0.35">
      <c r="A197" s="498"/>
      <c r="B197" s="498"/>
      <c r="C197" s="498"/>
      <c r="D197" s="498"/>
      <c r="E197" s="498"/>
      <c r="F197" s="498"/>
      <c r="G197" s="498"/>
      <c r="H197" s="498"/>
      <c r="I197" s="498"/>
      <c r="J197" s="498"/>
      <c r="K197" s="498"/>
      <c r="L197" s="498"/>
      <c r="M197" s="498"/>
    </row>
    <row r="198" spans="1:13" ht="15.5" x14ac:dyDescent="0.35">
      <c r="A198" s="498"/>
      <c r="B198" s="498"/>
      <c r="C198" s="498"/>
      <c r="D198" s="498"/>
      <c r="E198" s="498"/>
      <c r="F198" s="498"/>
      <c r="G198" s="498"/>
      <c r="H198" s="498"/>
      <c r="I198" s="498"/>
      <c r="J198" s="498"/>
      <c r="K198" s="498"/>
      <c r="L198" s="498"/>
      <c r="M198" s="498"/>
    </row>
    <row r="199" spans="1:13" ht="15.5" x14ac:dyDescent="0.35">
      <c r="A199" s="498"/>
      <c r="B199" s="498"/>
      <c r="C199" s="498"/>
      <c r="D199" s="498"/>
      <c r="E199" s="498"/>
      <c r="F199" s="498"/>
      <c r="G199" s="498"/>
      <c r="H199" s="498"/>
      <c r="I199" s="498"/>
      <c r="J199" s="498"/>
      <c r="K199" s="498"/>
      <c r="L199" s="498"/>
      <c r="M199" s="498"/>
    </row>
    <row r="200" spans="1:13" ht="15.5" x14ac:dyDescent="0.35">
      <c r="A200" s="498"/>
      <c r="B200" s="498"/>
      <c r="C200" s="498"/>
      <c r="D200" s="498"/>
      <c r="E200" s="498"/>
      <c r="F200" s="498"/>
      <c r="G200" s="498"/>
      <c r="H200" s="498"/>
      <c r="I200" s="498"/>
      <c r="J200" s="498"/>
      <c r="K200" s="498"/>
      <c r="L200" s="498"/>
      <c r="M200" s="498"/>
    </row>
    <row r="201" spans="1:13" ht="15.5" x14ac:dyDescent="0.35">
      <c r="A201" s="498"/>
      <c r="B201" s="498"/>
      <c r="C201" s="498"/>
      <c r="D201" s="498"/>
      <c r="E201" s="498"/>
      <c r="F201" s="498"/>
      <c r="G201" s="498"/>
      <c r="H201" s="498"/>
      <c r="I201" s="498"/>
      <c r="J201" s="498"/>
      <c r="K201" s="498"/>
      <c r="L201" s="498"/>
      <c r="M201" s="498"/>
    </row>
    <row r="202" spans="1:13" ht="15.5" x14ac:dyDescent="0.35">
      <c r="A202" s="498"/>
      <c r="B202" s="498"/>
      <c r="C202" s="498"/>
      <c r="D202" s="498"/>
      <c r="E202" s="498"/>
      <c r="F202" s="498"/>
      <c r="G202" s="498"/>
      <c r="H202" s="498"/>
      <c r="I202" s="498"/>
      <c r="J202" s="498"/>
      <c r="K202" s="498"/>
      <c r="L202" s="498"/>
      <c r="M202" s="498"/>
    </row>
    <row r="203" spans="1:13" ht="15.5" x14ac:dyDescent="0.35">
      <c r="A203" s="498"/>
      <c r="B203" s="498"/>
      <c r="C203" s="498"/>
      <c r="D203" s="498"/>
      <c r="E203" s="498"/>
      <c r="F203" s="498"/>
      <c r="G203" s="498"/>
      <c r="H203" s="498"/>
      <c r="I203" s="498"/>
      <c r="J203" s="498"/>
      <c r="K203" s="498"/>
      <c r="L203" s="498"/>
      <c r="M203" s="498"/>
    </row>
    <row r="204" spans="1:13" ht="15.5" x14ac:dyDescent="0.35">
      <c r="A204" s="498"/>
      <c r="B204" s="498"/>
      <c r="C204" s="498"/>
      <c r="D204" s="498"/>
      <c r="E204" s="498"/>
      <c r="F204" s="498"/>
      <c r="G204" s="498"/>
      <c r="H204" s="498"/>
      <c r="I204" s="498"/>
      <c r="J204" s="498"/>
      <c r="K204" s="498"/>
      <c r="L204" s="498"/>
      <c r="M204" s="498"/>
    </row>
    <row r="205" spans="1:13" ht="15.5" x14ac:dyDescent="0.35">
      <c r="A205" s="498"/>
      <c r="B205" s="498"/>
      <c r="C205" s="498"/>
      <c r="D205" s="498"/>
      <c r="E205" s="498"/>
      <c r="F205" s="498"/>
      <c r="G205" s="498"/>
      <c r="H205" s="498"/>
      <c r="I205" s="498"/>
      <c r="J205" s="498"/>
      <c r="K205" s="498"/>
      <c r="L205" s="498"/>
      <c r="M205" s="498"/>
    </row>
    <row r="206" spans="1:13" ht="15.5" x14ac:dyDescent="0.35">
      <c r="A206" s="498"/>
      <c r="B206" s="498"/>
      <c r="C206" s="498"/>
      <c r="D206" s="498"/>
      <c r="E206" s="498"/>
      <c r="F206" s="498"/>
      <c r="G206" s="498"/>
      <c r="H206" s="498"/>
      <c r="I206" s="498"/>
      <c r="J206" s="498"/>
      <c r="K206" s="498"/>
      <c r="L206" s="498"/>
      <c r="M206" s="498"/>
    </row>
    <row r="207" spans="1:13" ht="15.5" x14ac:dyDescent="0.35">
      <c r="A207" s="498"/>
      <c r="B207" s="498"/>
      <c r="C207" s="498"/>
      <c r="D207" s="498"/>
      <c r="E207" s="498"/>
      <c r="F207" s="498"/>
      <c r="G207" s="498"/>
      <c r="H207" s="498"/>
      <c r="I207" s="498"/>
      <c r="J207" s="498"/>
      <c r="K207" s="498"/>
      <c r="L207" s="498"/>
      <c r="M207" s="498"/>
    </row>
    <row r="208" spans="1:13" ht="15.5" x14ac:dyDescent="0.35">
      <c r="A208" s="498"/>
      <c r="B208" s="498"/>
      <c r="C208" s="498"/>
      <c r="D208" s="498"/>
      <c r="E208" s="498"/>
      <c r="F208" s="498"/>
      <c r="G208" s="498"/>
      <c r="H208" s="498"/>
      <c r="I208" s="498"/>
      <c r="J208" s="498"/>
      <c r="K208" s="498"/>
      <c r="L208" s="498"/>
      <c r="M208" s="498"/>
    </row>
    <row r="209" spans="1:13" ht="15.5" x14ac:dyDescent="0.35">
      <c r="A209" s="498"/>
      <c r="B209" s="498"/>
      <c r="C209" s="498"/>
      <c r="D209" s="498"/>
      <c r="E209" s="498"/>
      <c r="F209" s="498"/>
      <c r="G209" s="498"/>
      <c r="H209" s="498"/>
      <c r="I209" s="498"/>
      <c r="J209" s="498"/>
      <c r="K209" s="498"/>
      <c r="L209" s="498"/>
      <c r="M209" s="498"/>
    </row>
    <row r="210" spans="1:13" ht="15.5" x14ac:dyDescent="0.35">
      <c r="A210" s="498"/>
      <c r="B210" s="498"/>
      <c r="C210" s="498"/>
      <c r="D210" s="498"/>
      <c r="E210" s="498"/>
      <c r="F210" s="498"/>
      <c r="G210" s="498"/>
      <c r="H210" s="498"/>
      <c r="I210" s="498"/>
      <c r="J210" s="498"/>
      <c r="K210" s="498"/>
      <c r="L210" s="498"/>
      <c r="M210" s="498"/>
    </row>
    <row r="211" spans="1:13" ht="15.5" x14ac:dyDescent="0.35">
      <c r="A211" s="498"/>
      <c r="B211" s="498"/>
      <c r="C211" s="498"/>
      <c r="D211" s="498"/>
      <c r="E211" s="498"/>
      <c r="F211" s="498"/>
      <c r="G211" s="498"/>
      <c r="H211" s="498"/>
      <c r="I211" s="498"/>
      <c r="J211" s="498"/>
      <c r="K211" s="498"/>
      <c r="L211" s="498"/>
      <c r="M211" s="498"/>
    </row>
    <row r="212" spans="1:13" ht="15.5" x14ac:dyDescent="0.35">
      <c r="A212" s="498"/>
      <c r="B212" s="498"/>
      <c r="C212" s="498"/>
      <c r="D212" s="498"/>
      <c r="E212" s="498"/>
      <c r="F212" s="498"/>
      <c r="G212" s="498"/>
      <c r="H212" s="498"/>
      <c r="I212" s="498"/>
      <c r="J212" s="498"/>
      <c r="K212" s="498"/>
      <c r="L212" s="498"/>
      <c r="M212" s="498"/>
    </row>
    <row r="213" spans="1:13" ht="15.5" x14ac:dyDescent="0.35">
      <c r="A213" s="498"/>
      <c r="B213" s="498"/>
      <c r="C213" s="498"/>
      <c r="D213" s="498"/>
      <c r="E213" s="498"/>
      <c r="F213" s="498"/>
      <c r="G213" s="498"/>
      <c r="H213" s="498"/>
      <c r="I213" s="498"/>
      <c r="J213" s="498"/>
      <c r="K213" s="498"/>
      <c r="L213" s="498"/>
      <c r="M213" s="498"/>
    </row>
    <row r="214" spans="1:13" ht="15.5" x14ac:dyDescent="0.35">
      <c r="A214" s="498"/>
      <c r="B214" s="498"/>
      <c r="C214" s="498"/>
      <c r="D214" s="498"/>
      <c r="E214" s="498"/>
      <c r="F214" s="498"/>
      <c r="G214" s="498"/>
      <c r="H214" s="498"/>
      <c r="I214" s="498"/>
      <c r="J214" s="498"/>
      <c r="K214" s="498"/>
      <c r="L214" s="498"/>
      <c r="M214" s="498"/>
    </row>
    <row r="215" spans="1:13" ht="15.5" x14ac:dyDescent="0.35">
      <c r="A215" s="498"/>
      <c r="B215" s="498"/>
      <c r="C215" s="498"/>
      <c r="D215" s="498"/>
      <c r="E215" s="498"/>
      <c r="F215" s="498"/>
      <c r="G215" s="498"/>
      <c r="H215" s="498"/>
      <c r="I215" s="498"/>
      <c r="J215" s="498"/>
      <c r="K215" s="498"/>
      <c r="L215" s="498"/>
      <c r="M215" s="498"/>
    </row>
    <row r="216" spans="1:13" ht="15.5" x14ac:dyDescent="0.35">
      <c r="A216" s="498"/>
      <c r="B216" s="498"/>
      <c r="C216" s="498"/>
      <c r="D216" s="498"/>
      <c r="E216" s="498"/>
      <c r="F216" s="498"/>
      <c r="G216" s="498"/>
      <c r="H216" s="498"/>
      <c r="I216" s="498"/>
      <c r="J216" s="498"/>
      <c r="K216" s="498"/>
      <c r="L216" s="498"/>
      <c r="M216" s="498"/>
    </row>
    <row r="217" spans="1:13" ht="15.5" x14ac:dyDescent="0.35">
      <c r="A217" s="498"/>
      <c r="B217" s="498"/>
      <c r="C217" s="498"/>
      <c r="D217" s="498"/>
      <c r="E217" s="498"/>
      <c r="F217" s="498"/>
      <c r="G217" s="498"/>
      <c r="H217" s="498"/>
      <c r="I217" s="498"/>
      <c r="J217" s="498"/>
      <c r="K217" s="498"/>
      <c r="L217" s="498"/>
      <c r="M217" s="498"/>
    </row>
    <row r="218" spans="1:13" ht="15.5" x14ac:dyDescent="0.35">
      <c r="A218" s="498"/>
      <c r="B218" s="498"/>
      <c r="C218" s="498"/>
      <c r="D218" s="498"/>
      <c r="E218" s="498"/>
      <c r="F218" s="498"/>
      <c r="G218" s="498"/>
      <c r="H218" s="498"/>
      <c r="I218" s="498"/>
      <c r="J218" s="498"/>
      <c r="K218" s="498"/>
      <c r="L218" s="498"/>
      <c r="M218" s="498"/>
    </row>
    <row r="219" spans="1:13" ht="15.5" x14ac:dyDescent="0.35">
      <c r="A219" s="498"/>
      <c r="B219" s="498"/>
      <c r="C219" s="498"/>
      <c r="D219" s="498"/>
      <c r="E219" s="498"/>
      <c r="F219" s="498"/>
      <c r="G219" s="498"/>
      <c r="H219" s="498"/>
      <c r="I219" s="498"/>
      <c r="J219" s="498"/>
      <c r="K219" s="498"/>
      <c r="L219" s="498"/>
      <c r="M219" s="498"/>
    </row>
    <row r="220" spans="1:13" ht="15.5" x14ac:dyDescent="0.35">
      <c r="A220" s="498"/>
      <c r="B220" s="498"/>
      <c r="C220" s="498"/>
      <c r="D220" s="498"/>
      <c r="E220" s="498"/>
      <c r="F220" s="498"/>
      <c r="G220" s="498"/>
      <c r="H220" s="498"/>
      <c r="I220" s="498"/>
      <c r="J220" s="498"/>
      <c r="K220" s="498"/>
      <c r="L220" s="498"/>
      <c r="M220" s="498"/>
    </row>
    <row r="221" spans="1:13" ht="15.5" x14ac:dyDescent="0.35">
      <c r="A221" s="498"/>
      <c r="B221" s="498"/>
      <c r="C221" s="498"/>
      <c r="D221" s="498"/>
      <c r="E221" s="498"/>
      <c r="F221" s="498"/>
      <c r="G221" s="498"/>
      <c r="H221" s="498"/>
      <c r="I221" s="498"/>
      <c r="J221" s="498"/>
      <c r="K221" s="498"/>
      <c r="L221" s="498"/>
      <c r="M221" s="498"/>
    </row>
    <row r="222" spans="1:13" ht="15.5" x14ac:dyDescent="0.35">
      <c r="A222" s="498"/>
      <c r="B222" s="498"/>
      <c r="C222" s="498"/>
      <c r="D222" s="498"/>
      <c r="E222" s="498"/>
      <c r="F222" s="498"/>
      <c r="G222" s="498"/>
      <c r="H222" s="498"/>
      <c r="I222" s="498"/>
      <c r="J222" s="498"/>
      <c r="K222" s="498"/>
      <c r="L222" s="498"/>
      <c r="M222" s="498"/>
    </row>
    <row r="223" spans="1:13" ht="15.5" x14ac:dyDescent="0.35">
      <c r="A223" s="498"/>
      <c r="B223" s="498"/>
      <c r="C223" s="498"/>
      <c r="D223" s="498"/>
      <c r="E223" s="498"/>
      <c r="F223" s="498"/>
      <c r="G223" s="498"/>
      <c r="H223" s="498"/>
      <c r="I223" s="498"/>
      <c r="J223" s="498"/>
      <c r="K223" s="498"/>
      <c r="L223" s="498"/>
      <c r="M223" s="498"/>
    </row>
    <row r="224" spans="1:13" ht="15.5" x14ac:dyDescent="0.35">
      <c r="A224" s="498"/>
      <c r="B224" s="498"/>
      <c r="C224" s="498"/>
      <c r="D224" s="498"/>
      <c r="E224" s="498"/>
      <c r="F224" s="498"/>
      <c r="G224" s="498"/>
      <c r="H224" s="498"/>
      <c r="I224" s="498"/>
      <c r="J224" s="498"/>
      <c r="K224" s="498"/>
      <c r="L224" s="498"/>
      <c r="M224" s="498"/>
    </row>
    <row r="225" spans="1:13" ht="15.5" x14ac:dyDescent="0.35">
      <c r="A225" s="498"/>
      <c r="B225" s="498"/>
      <c r="C225" s="498"/>
      <c r="D225" s="498"/>
      <c r="E225" s="498"/>
      <c r="F225" s="498"/>
      <c r="G225" s="498"/>
      <c r="H225" s="498"/>
      <c r="I225" s="498"/>
      <c r="J225" s="498"/>
      <c r="K225" s="498"/>
      <c r="L225" s="498"/>
      <c r="M225" s="498"/>
    </row>
    <row r="226" spans="1:13" ht="15.5" x14ac:dyDescent="0.35">
      <c r="A226" s="498"/>
      <c r="B226" s="498"/>
      <c r="C226" s="498"/>
      <c r="D226" s="498"/>
      <c r="E226" s="498"/>
      <c r="F226" s="498"/>
      <c r="G226" s="498"/>
      <c r="H226" s="498"/>
      <c r="I226" s="498"/>
      <c r="J226" s="498"/>
      <c r="K226" s="498"/>
      <c r="L226" s="498"/>
      <c r="M226" s="498"/>
    </row>
    <row r="227" spans="1:13" ht="15.5" x14ac:dyDescent="0.35">
      <c r="A227" s="498"/>
      <c r="B227" s="498"/>
      <c r="C227" s="498"/>
      <c r="D227" s="498"/>
      <c r="E227" s="498"/>
      <c r="F227" s="498"/>
      <c r="G227" s="498"/>
      <c r="H227" s="498"/>
      <c r="I227" s="498"/>
      <c r="J227" s="498"/>
      <c r="K227" s="498"/>
      <c r="L227" s="498"/>
      <c r="M227" s="498"/>
    </row>
    <row r="228" spans="1:13" ht="15.5" x14ac:dyDescent="0.35">
      <c r="A228" s="498"/>
      <c r="B228" s="498"/>
      <c r="C228" s="498"/>
      <c r="D228" s="498"/>
      <c r="E228" s="498"/>
      <c r="F228" s="498"/>
      <c r="G228" s="498"/>
      <c r="H228" s="498"/>
      <c r="I228" s="498"/>
      <c r="J228" s="498"/>
      <c r="K228" s="498"/>
      <c r="L228" s="498"/>
      <c r="M228" s="498"/>
    </row>
    <row r="229" spans="1:13" ht="15.5" x14ac:dyDescent="0.35">
      <c r="A229" s="498"/>
      <c r="B229" s="498"/>
      <c r="C229" s="498"/>
      <c r="D229" s="498"/>
      <c r="E229" s="498"/>
      <c r="F229" s="498"/>
      <c r="G229" s="498"/>
      <c r="H229" s="498"/>
      <c r="I229" s="498"/>
      <c r="J229" s="498"/>
      <c r="K229" s="498"/>
      <c r="L229" s="498"/>
      <c r="M229" s="498"/>
    </row>
    <row r="230" spans="1:13" ht="15.5" x14ac:dyDescent="0.35">
      <c r="A230" s="498"/>
      <c r="B230" s="498"/>
      <c r="C230" s="498"/>
      <c r="D230" s="498"/>
      <c r="E230" s="498"/>
      <c r="F230" s="498"/>
      <c r="G230" s="498"/>
      <c r="H230" s="498"/>
      <c r="I230" s="498"/>
      <c r="J230" s="498"/>
      <c r="K230" s="498"/>
      <c r="L230" s="498"/>
      <c r="M230" s="498"/>
    </row>
    <row r="231" spans="1:13" ht="15.5" x14ac:dyDescent="0.35">
      <c r="A231" s="498"/>
      <c r="B231" s="498"/>
      <c r="C231" s="498"/>
      <c r="D231" s="498"/>
      <c r="E231" s="498"/>
      <c r="F231" s="498"/>
      <c r="G231" s="498"/>
      <c r="H231" s="498"/>
      <c r="I231" s="498"/>
      <c r="J231" s="498"/>
      <c r="K231" s="498"/>
      <c r="L231" s="498"/>
      <c r="M231" s="498"/>
    </row>
    <row r="232" spans="1:13" ht="15.5" x14ac:dyDescent="0.35">
      <c r="A232" s="498"/>
      <c r="B232" s="498"/>
      <c r="C232" s="498"/>
      <c r="D232" s="498"/>
      <c r="E232" s="498"/>
      <c r="F232" s="498"/>
      <c r="G232" s="498"/>
      <c r="H232" s="498"/>
      <c r="I232" s="498"/>
      <c r="J232" s="498"/>
      <c r="K232" s="498"/>
      <c r="L232" s="498"/>
      <c r="M232" s="498"/>
    </row>
    <row r="233" spans="1:13" ht="15.5" x14ac:dyDescent="0.35">
      <c r="A233" s="498"/>
      <c r="B233" s="498"/>
      <c r="C233" s="498"/>
      <c r="D233" s="498"/>
      <c r="E233" s="498"/>
      <c r="F233" s="498"/>
      <c r="G233" s="498"/>
      <c r="H233" s="498"/>
      <c r="I233" s="498"/>
      <c r="J233" s="498"/>
      <c r="K233" s="498"/>
      <c r="L233" s="498"/>
      <c r="M233" s="498"/>
    </row>
    <row r="234" spans="1:13" ht="15.5" x14ac:dyDescent="0.35">
      <c r="A234" s="498"/>
      <c r="B234" s="498"/>
      <c r="C234" s="498"/>
      <c r="D234" s="498"/>
      <c r="E234" s="498"/>
      <c r="F234" s="498"/>
      <c r="G234" s="498"/>
      <c r="H234" s="498"/>
      <c r="I234" s="498"/>
      <c r="J234" s="498"/>
      <c r="K234" s="498"/>
      <c r="L234" s="498"/>
      <c r="M234" s="498"/>
    </row>
    <row r="235" spans="1:13" ht="15.5" x14ac:dyDescent="0.35">
      <c r="A235" s="498"/>
      <c r="B235" s="498"/>
      <c r="C235" s="498"/>
      <c r="D235" s="498"/>
      <c r="E235" s="498"/>
      <c r="F235" s="498"/>
      <c r="G235" s="498"/>
      <c r="H235" s="498"/>
      <c r="I235" s="498"/>
      <c r="J235" s="498"/>
      <c r="K235" s="498"/>
      <c r="L235" s="498"/>
      <c r="M235" s="498"/>
    </row>
    <row r="236" spans="1:13" ht="15.5" x14ac:dyDescent="0.35">
      <c r="A236" s="498"/>
      <c r="B236" s="498"/>
      <c r="C236" s="498"/>
      <c r="D236" s="498"/>
      <c r="E236" s="498"/>
      <c r="F236" s="498"/>
      <c r="G236" s="498"/>
      <c r="H236" s="498"/>
      <c r="I236" s="498"/>
      <c r="J236" s="498"/>
      <c r="K236" s="498"/>
      <c r="L236" s="498"/>
      <c r="M236" s="498"/>
    </row>
    <row r="237" spans="1:13" ht="15.5" x14ac:dyDescent="0.35">
      <c r="A237" s="498"/>
      <c r="B237" s="498"/>
      <c r="C237" s="498"/>
      <c r="D237" s="498"/>
      <c r="E237" s="498"/>
      <c r="F237" s="498"/>
      <c r="G237" s="498"/>
      <c r="H237" s="498"/>
      <c r="I237" s="498"/>
      <c r="J237" s="498"/>
      <c r="K237" s="498"/>
      <c r="L237" s="498"/>
      <c r="M237" s="498"/>
    </row>
    <row r="238" spans="1:13" ht="15.5" x14ac:dyDescent="0.35">
      <c r="A238" s="498"/>
      <c r="B238" s="498"/>
      <c r="C238" s="498"/>
      <c r="D238" s="498"/>
      <c r="E238" s="498"/>
      <c r="F238" s="498"/>
      <c r="G238" s="498"/>
      <c r="H238" s="498"/>
      <c r="I238" s="498"/>
      <c r="J238" s="498"/>
      <c r="K238" s="498"/>
      <c r="L238" s="498"/>
      <c r="M238" s="498"/>
    </row>
    <row r="239" spans="1:13" ht="15.5" x14ac:dyDescent="0.35">
      <c r="A239" s="498"/>
      <c r="B239" s="498"/>
      <c r="C239" s="498"/>
      <c r="D239" s="498"/>
      <c r="E239" s="498"/>
      <c r="F239" s="498"/>
      <c r="G239" s="498"/>
      <c r="H239" s="498"/>
      <c r="I239" s="498"/>
      <c r="J239" s="498"/>
      <c r="K239" s="498"/>
      <c r="L239" s="498"/>
      <c r="M239" s="498"/>
    </row>
    <row r="240" spans="1:13" ht="15.5" x14ac:dyDescent="0.35">
      <c r="A240" s="498"/>
      <c r="B240" s="498"/>
      <c r="C240" s="498"/>
      <c r="D240" s="498"/>
      <c r="E240" s="498"/>
      <c r="F240" s="498"/>
      <c r="G240" s="498"/>
      <c r="H240" s="498"/>
      <c r="I240" s="498"/>
      <c r="J240" s="498"/>
      <c r="K240" s="498"/>
      <c r="L240" s="498"/>
      <c r="M240" s="498"/>
    </row>
    <row r="241" spans="1:13" ht="15.5" x14ac:dyDescent="0.35">
      <c r="A241" s="498"/>
      <c r="B241" s="498"/>
      <c r="C241" s="498"/>
      <c r="D241" s="498"/>
      <c r="E241" s="498"/>
      <c r="F241" s="498"/>
      <c r="G241" s="498"/>
      <c r="H241" s="498"/>
      <c r="I241" s="498"/>
      <c r="J241" s="498"/>
      <c r="K241" s="498"/>
      <c r="L241" s="498"/>
      <c r="M241" s="498"/>
    </row>
    <row r="242" spans="1:13" ht="15.5" x14ac:dyDescent="0.35">
      <c r="A242" s="498"/>
      <c r="B242" s="498"/>
      <c r="C242" s="498"/>
      <c r="D242" s="498"/>
      <c r="E242" s="498"/>
      <c r="F242" s="498"/>
      <c r="G242" s="498"/>
      <c r="H242" s="498"/>
      <c r="I242" s="498"/>
      <c r="J242" s="498"/>
      <c r="K242" s="498"/>
      <c r="L242" s="498"/>
      <c r="M242" s="498"/>
    </row>
    <row r="243" spans="1:13" ht="15.5" x14ac:dyDescent="0.35">
      <c r="A243" s="498"/>
      <c r="B243" s="498"/>
      <c r="C243" s="498"/>
      <c r="D243" s="498"/>
      <c r="E243" s="498"/>
      <c r="F243" s="498"/>
      <c r="G243" s="498"/>
      <c r="H243" s="498"/>
      <c r="I243" s="498"/>
      <c r="J243" s="498"/>
      <c r="K243" s="498"/>
      <c r="L243" s="498"/>
      <c r="M243" s="498"/>
    </row>
    <row r="244" spans="1:13" ht="15.5" x14ac:dyDescent="0.35">
      <c r="A244" s="498"/>
      <c r="B244" s="498"/>
      <c r="C244" s="498"/>
      <c r="D244" s="498"/>
      <c r="E244" s="498"/>
      <c r="F244" s="498"/>
      <c r="G244" s="498"/>
      <c r="H244" s="498"/>
      <c r="I244" s="498"/>
      <c r="J244" s="498"/>
      <c r="K244" s="498"/>
      <c r="L244" s="498"/>
      <c r="M244" s="498"/>
    </row>
    <row r="245" spans="1:13" ht="15.5" x14ac:dyDescent="0.35">
      <c r="A245" s="498"/>
      <c r="B245" s="498"/>
      <c r="C245" s="498"/>
      <c r="D245" s="498"/>
      <c r="E245" s="498"/>
      <c r="F245" s="498"/>
      <c r="G245" s="498"/>
      <c r="H245" s="498"/>
      <c r="I245" s="498"/>
      <c r="J245" s="498"/>
      <c r="K245" s="498"/>
      <c r="L245" s="498"/>
      <c r="M245" s="498"/>
    </row>
    <row r="246" spans="1:13" ht="15.5" x14ac:dyDescent="0.35">
      <c r="A246" s="498"/>
      <c r="B246" s="498"/>
      <c r="C246" s="498"/>
      <c r="D246" s="498"/>
      <c r="E246" s="498"/>
      <c r="F246" s="498"/>
      <c r="G246" s="498"/>
      <c r="H246" s="498"/>
      <c r="I246" s="498"/>
      <c r="J246" s="498"/>
      <c r="K246" s="498"/>
      <c r="L246" s="498"/>
      <c r="M246" s="498"/>
    </row>
    <row r="247" spans="1:13" ht="15.5" x14ac:dyDescent="0.35">
      <c r="A247" s="498"/>
      <c r="B247" s="498"/>
      <c r="C247" s="498"/>
      <c r="D247" s="498"/>
      <c r="E247" s="498"/>
      <c r="F247" s="498"/>
      <c r="G247" s="498"/>
      <c r="H247" s="498"/>
      <c r="I247" s="498"/>
      <c r="J247" s="498"/>
      <c r="K247" s="498"/>
      <c r="L247" s="498"/>
      <c r="M247" s="498"/>
    </row>
    <row r="248" spans="1:13" ht="15.5" x14ac:dyDescent="0.35">
      <c r="A248" s="498"/>
      <c r="B248" s="498"/>
      <c r="C248" s="498"/>
      <c r="D248" s="498"/>
      <c r="E248" s="498"/>
      <c r="F248" s="498"/>
      <c r="G248" s="498"/>
      <c r="H248" s="498"/>
      <c r="I248" s="498"/>
      <c r="J248" s="498"/>
      <c r="K248" s="498"/>
      <c r="L248" s="498"/>
      <c r="M248" s="498"/>
    </row>
    <row r="249" spans="1:13" ht="15.5" x14ac:dyDescent="0.35">
      <c r="A249" s="498"/>
      <c r="B249" s="498"/>
      <c r="C249" s="498"/>
      <c r="D249" s="498"/>
      <c r="E249" s="498"/>
      <c r="F249" s="498"/>
      <c r="G249" s="498"/>
      <c r="H249" s="498"/>
      <c r="I249" s="498"/>
      <c r="J249" s="498"/>
      <c r="K249" s="498"/>
      <c r="L249" s="498"/>
      <c r="M249" s="498"/>
    </row>
    <row r="250" spans="1:13" ht="15.5" x14ac:dyDescent="0.35">
      <c r="A250" s="498"/>
      <c r="B250" s="498"/>
      <c r="C250" s="498"/>
      <c r="D250" s="498"/>
      <c r="E250" s="498"/>
      <c r="F250" s="498"/>
      <c r="G250" s="498"/>
      <c r="H250" s="498"/>
      <c r="I250" s="498"/>
      <c r="J250" s="498"/>
      <c r="K250" s="498"/>
      <c r="L250" s="498"/>
      <c r="M250" s="498"/>
    </row>
    <row r="251" spans="1:13" ht="15.5" x14ac:dyDescent="0.35">
      <c r="A251" s="498"/>
      <c r="B251" s="498"/>
      <c r="C251" s="498"/>
      <c r="D251" s="498"/>
      <c r="E251" s="498"/>
      <c r="F251" s="498"/>
      <c r="G251" s="498"/>
      <c r="H251" s="498"/>
      <c r="I251" s="498"/>
      <c r="J251" s="498"/>
      <c r="K251" s="498"/>
      <c r="L251" s="498"/>
      <c r="M251" s="498"/>
    </row>
    <row r="252" spans="1:13" ht="15.5" x14ac:dyDescent="0.35">
      <c r="A252" s="498"/>
      <c r="B252" s="498"/>
      <c r="C252" s="498"/>
      <c r="D252" s="498"/>
      <c r="E252" s="498"/>
      <c r="F252" s="498"/>
      <c r="G252" s="498"/>
      <c r="H252" s="498"/>
      <c r="I252" s="498"/>
      <c r="J252" s="498"/>
      <c r="K252" s="498"/>
      <c r="L252" s="498"/>
      <c r="M252" s="498"/>
    </row>
    <row r="253" spans="1:13" ht="15.5" x14ac:dyDescent="0.35">
      <c r="A253" s="498"/>
      <c r="B253" s="498"/>
      <c r="C253" s="498"/>
      <c r="D253" s="498"/>
      <c r="E253" s="498"/>
      <c r="F253" s="498"/>
      <c r="G253" s="498"/>
      <c r="H253" s="498"/>
      <c r="I253" s="498"/>
      <c r="J253" s="498"/>
      <c r="K253" s="498"/>
      <c r="L253" s="498"/>
      <c r="M253" s="498"/>
    </row>
    <row r="254" spans="1:13" ht="15.5" x14ac:dyDescent="0.35">
      <c r="A254" s="498"/>
      <c r="B254" s="498"/>
      <c r="C254" s="498"/>
      <c r="D254" s="498"/>
      <c r="E254" s="498"/>
      <c r="F254" s="498"/>
      <c r="G254" s="498"/>
      <c r="H254" s="498"/>
      <c r="I254" s="498"/>
      <c r="J254" s="498"/>
      <c r="K254" s="498"/>
      <c r="L254" s="498"/>
      <c r="M254" s="498"/>
    </row>
    <row r="255" spans="1:13" ht="15.5" x14ac:dyDescent="0.35">
      <c r="A255" s="498"/>
      <c r="B255" s="498"/>
      <c r="C255" s="498"/>
      <c r="D255" s="498"/>
      <c r="E255" s="498"/>
      <c r="F255" s="498"/>
      <c r="G255" s="498"/>
      <c r="H255" s="498"/>
      <c r="I255" s="498"/>
      <c r="J255" s="498"/>
      <c r="K255" s="498"/>
      <c r="L255" s="498"/>
      <c r="M255" s="498"/>
    </row>
    <row r="256" spans="1:13" ht="15.5" x14ac:dyDescent="0.35">
      <c r="A256" s="498"/>
      <c r="B256" s="498"/>
      <c r="C256" s="498"/>
      <c r="D256" s="498"/>
      <c r="E256" s="498"/>
      <c r="F256" s="498"/>
      <c r="G256" s="498"/>
      <c r="H256" s="498"/>
      <c r="I256" s="498"/>
      <c r="J256" s="498"/>
      <c r="K256" s="498"/>
      <c r="L256" s="498"/>
      <c r="M256" s="498"/>
    </row>
    <row r="257" spans="1:13" ht="15.5" x14ac:dyDescent="0.35">
      <c r="A257" s="498"/>
      <c r="B257" s="498"/>
      <c r="C257" s="498"/>
      <c r="D257" s="498"/>
      <c r="E257" s="498"/>
      <c r="F257" s="498"/>
      <c r="G257" s="498"/>
      <c r="H257" s="498"/>
      <c r="I257" s="498"/>
      <c r="J257" s="498"/>
      <c r="K257" s="498"/>
      <c r="L257" s="498"/>
      <c r="M257" s="498"/>
    </row>
    <row r="258" spans="1:13" ht="15.5" x14ac:dyDescent="0.35">
      <c r="A258" s="498"/>
      <c r="B258" s="498"/>
      <c r="C258" s="498"/>
      <c r="D258" s="498"/>
      <c r="E258" s="498"/>
      <c r="F258" s="498"/>
      <c r="G258" s="498"/>
      <c r="H258" s="498"/>
      <c r="I258" s="498"/>
      <c r="J258" s="498"/>
      <c r="K258" s="498"/>
      <c r="L258" s="498"/>
      <c r="M258" s="498"/>
    </row>
    <row r="259" spans="1:13" ht="15.5" x14ac:dyDescent="0.35">
      <c r="A259" s="498"/>
      <c r="B259" s="498"/>
      <c r="C259" s="498"/>
      <c r="D259" s="498"/>
      <c r="E259" s="498"/>
      <c r="F259" s="498"/>
      <c r="G259" s="498"/>
      <c r="H259" s="498"/>
      <c r="I259" s="498"/>
      <c r="J259" s="498"/>
      <c r="K259" s="498"/>
      <c r="L259" s="498"/>
      <c r="M259" s="498"/>
    </row>
    <row r="260" spans="1:13" ht="15.5" x14ac:dyDescent="0.35">
      <c r="A260" s="498"/>
      <c r="B260" s="498"/>
      <c r="C260" s="498"/>
      <c r="D260" s="498"/>
      <c r="E260" s="498"/>
      <c r="F260" s="498"/>
      <c r="G260" s="498"/>
      <c r="H260" s="498"/>
      <c r="I260" s="498"/>
      <c r="J260" s="498"/>
      <c r="K260" s="498"/>
      <c r="L260" s="498"/>
      <c r="M260" s="498"/>
    </row>
    <row r="261" spans="1:13" ht="15.5" x14ac:dyDescent="0.35">
      <c r="A261" s="498"/>
      <c r="B261" s="498"/>
      <c r="C261" s="498"/>
      <c r="D261" s="498"/>
      <c r="E261" s="498"/>
      <c r="F261" s="498"/>
      <c r="G261" s="498"/>
      <c r="H261" s="498"/>
      <c r="I261" s="498"/>
      <c r="J261" s="498"/>
      <c r="K261" s="498"/>
      <c r="L261" s="498"/>
      <c r="M261" s="498"/>
    </row>
    <row r="262" spans="1:13" ht="15.5" x14ac:dyDescent="0.35">
      <c r="A262" s="498"/>
      <c r="B262" s="498"/>
      <c r="C262" s="498"/>
      <c r="D262" s="498"/>
      <c r="E262" s="498"/>
      <c r="F262" s="498"/>
      <c r="G262" s="498"/>
      <c r="H262" s="498"/>
      <c r="I262" s="498"/>
      <c r="J262" s="498"/>
      <c r="K262" s="498"/>
      <c r="L262" s="498"/>
      <c r="M262" s="498"/>
    </row>
    <row r="263" spans="1:13" ht="15.5" x14ac:dyDescent="0.35">
      <c r="A263" s="498"/>
      <c r="B263" s="498"/>
      <c r="C263" s="498"/>
      <c r="D263" s="498"/>
      <c r="E263" s="498"/>
      <c r="F263" s="498"/>
      <c r="G263" s="498"/>
      <c r="H263" s="498"/>
      <c r="I263" s="498"/>
      <c r="J263" s="498"/>
      <c r="K263" s="498"/>
      <c r="L263" s="498"/>
      <c r="M263" s="498"/>
    </row>
    <row r="264" spans="1:13" ht="15.5" x14ac:dyDescent="0.35">
      <c r="A264" s="498"/>
      <c r="B264" s="498"/>
      <c r="C264" s="498"/>
      <c r="D264" s="498"/>
      <c r="E264" s="498"/>
      <c r="F264" s="498"/>
      <c r="G264" s="498"/>
      <c r="H264" s="498"/>
      <c r="I264" s="498"/>
      <c r="J264" s="498"/>
      <c r="K264" s="498"/>
      <c r="L264" s="498"/>
      <c r="M264" s="498"/>
    </row>
    <row r="265" spans="1:13" ht="15.5" x14ac:dyDescent="0.35">
      <c r="A265" s="498"/>
      <c r="B265" s="498"/>
      <c r="C265" s="498"/>
      <c r="D265" s="498"/>
      <c r="E265" s="498"/>
      <c r="F265" s="498"/>
      <c r="G265" s="498"/>
      <c r="H265" s="498"/>
      <c r="I265" s="498"/>
      <c r="J265" s="498"/>
      <c r="K265" s="498"/>
      <c r="L265" s="498"/>
      <c r="M265" s="498"/>
    </row>
    <row r="266" spans="1:13" ht="15.5" x14ac:dyDescent="0.35">
      <c r="A266" s="498"/>
      <c r="B266" s="498"/>
      <c r="C266" s="498"/>
      <c r="D266" s="498"/>
      <c r="E266" s="498"/>
      <c r="F266" s="498"/>
      <c r="G266" s="498"/>
      <c r="H266" s="498"/>
      <c r="I266" s="498"/>
      <c r="J266" s="498"/>
      <c r="K266" s="498"/>
      <c r="L266" s="498"/>
      <c r="M266" s="498"/>
    </row>
    <row r="267" spans="1:13" ht="15.5" x14ac:dyDescent="0.35">
      <c r="A267" s="498"/>
      <c r="B267" s="498"/>
      <c r="C267" s="498"/>
      <c r="D267" s="498"/>
      <c r="E267" s="498"/>
      <c r="F267" s="498"/>
      <c r="G267" s="498"/>
      <c r="H267" s="498"/>
      <c r="I267" s="498"/>
      <c r="J267" s="498"/>
      <c r="K267" s="498"/>
      <c r="L267" s="498"/>
      <c r="M267" s="498"/>
    </row>
    <row r="268" spans="1:13" ht="15.5" x14ac:dyDescent="0.35">
      <c r="A268" s="498"/>
      <c r="B268" s="498"/>
      <c r="C268" s="498"/>
      <c r="D268" s="498"/>
      <c r="E268" s="498"/>
      <c r="F268" s="498"/>
      <c r="G268" s="498"/>
      <c r="H268" s="498"/>
      <c r="I268" s="498"/>
      <c r="J268" s="498"/>
      <c r="K268" s="498"/>
      <c r="L268" s="498"/>
      <c r="M268" s="498"/>
    </row>
    <row r="269" spans="1:13" ht="15.5" x14ac:dyDescent="0.35">
      <c r="A269" s="498"/>
      <c r="B269" s="498"/>
      <c r="C269" s="498"/>
      <c r="D269" s="498"/>
      <c r="E269" s="498"/>
      <c r="F269" s="498"/>
      <c r="G269" s="498"/>
      <c r="H269" s="498"/>
      <c r="I269" s="498"/>
      <c r="J269" s="498"/>
      <c r="K269" s="498"/>
      <c r="L269" s="498"/>
      <c r="M269" s="498"/>
    </row>
    <row r="270" spans="1:13" ht="15.5" x14ac:dyDescent="0.35">
      <c r="A270" s="498"/>
      <c r="B270" s="498"/>
      <c r="C270" s="498"/>
      <c r="D270" s="498"/>
      <c r="E270" s="498"/>
      <c r="F270" s="498"/>
      <c r="G270" s="498"/>
      <c r="H270" s="498"/>
      <c r="I270" s="498"/>
      <c r="J270" s="498"/>
      <c r="K270" s="498"/>
      <c r="L270" s="498"/>
      <c r="M270" s="498"/>
    </row>
    <row r="271" spans="1:13" ht="15.5" x14ac:dyDescent="0.35">
      <c r="A271" s="498"/>
      <c r="B271" s="498"/>
      <c r="C271" s="498"/>
      <c r="D271" s="498"/>
      <c r="E271" s="498"/>
      <c r="F271" s="498"/>
      <c r="G271" s="498"/>
      <c r="H271" s="498"/>
      <c r="I271" s="498"/>
      <c r="J271" s="498"/>
      <c r="K271" s="498"/>
      <c r="L271" s="498"/>
      <c r="M271" s="498"/>
    </row>
    <row r="272" spans="1:13" ht="15.5" x14ac:dyDescent="0.35">
      <c r="A272" s="498"/>
      <c r="B272" s="498"/>
      <c r="C272" s="498"/>
      <c r="D272" s="498"/>
      <c r="E272" s="498"/>
      <c r="F272" s="498"/>
      <c r="G272" s="498"/>
      <c r="H272" s="498"/>
      <c r="I272" s="498"/>
      <c r="J272" s="498"/>
      <c r="K272" s="498"/>
      <c r="L272" s="498"/>
      <c r="M272" s="498"/>
    </row>
    <row r="273" spans="1:13" ht="15.5" x14ac:dyDescent="0.35">
      <c r="A273" s="498"/>
      <c r="B273" s="498"/>
      <c r="C273" s="498"/>
      <c r="D273" s="498"/>
      <c r="E273" s="498"/>
      <c r="F273" s="498"/>
      <c r="G273" s="498"/>
      <c r="H273" s="498"/>
      <c r="I273" s="498"/>
      <c r="J273" s="498"/>
      <c r="K273" s="498"/>
      <c r="L273" s="498"/>
      <c r="M273" s="498"/>
    </row>
    <row r="274" spans="1:13" ht="15.5" x14ac:dyDescent="0.35">
      <c r="A274" s="498"/>
      <c r="B274" s="498"/>
      <c r="C274" s="498"/>
      <c r="D274" s="498"/>
      <c r="E274" s="498"/>
      <c r="F274" s="498"/>
      <c r="G274" s="498"/>
      <c r="H274" s="498"/>
      <c r="I274" s="498"/>
      <c r="J274" s="498"/>
      <c r="K274" s="498"/>
      <c r="L274" s="498"/>
      <c r="M274" s="498"/>
    </row>
    <row r="275" spans="1:13" ht="15.5" x14ac:dyDescent="0.35">
      <c r="A275" s="498"/>
      <c r="B275" s="498"/>
      <c r="C275" s="498"/>
      <c r="D275" s="498"/>
      <c r="E275" s="498"/>
      <c r="F275" s="498"/>
      <c r="G275" s="498"/>
      <c r="H275" s="498"/>
      <c r="I275" s="498"/>
      <c r="J275" s="498"/>
      <c r="K275" s="498"/>
      <c r="L275" s="498"/>
      <c r="M275" s="498"/>
    </row>
    <row r="276" spans="1:13" ht="15.5" x14ac:dyDescent="0.35">
      <c r="A276" s="498"/>
      <c r="B276" s="498"/>
      <c r="C276" s="498"/>
      <c r="D276" s="498"/>
      <c r="E276" s="498"/>
      <c r="F276" s="498"/>
      <c r="G276" s="498"/>
      <c r="H276" s="498"/>
      <c r="I276" s="498"/>
      <c r="J276" s="498"/>
      <c r="K276" s="498"/>
      <c r="L276" s="498"/>
      <c r="M276" s="498"/>
    </row>
    <row r="277" spans="1:13" ht="15.5" x14ac:dyDescent="0.35">
      <c r="A277" s="498"/>
      <c r="B277" s="498"/>
      <c r="C277" s="498"/>
      <c r="D277" s="498"/>
      <c r="E277" s="498"/>
      <c r="F277" s="498"/>
      <c r="G277" s="498"/>
      <c r="H277" s="498"/>
      <c r="I277" s="498"/>
      <c r="J277" s="498"/>
      <c r="K277" s="498"/>
      <c r="L277" s="498"/>
      <c r="M277" s="498"/>
    </row>
    <row r="278" spans="1:13" ht="15.5" x14ac:dyDescent="0.35">
      <c r="A278" s="498"/>
      <c r="B278" s="498"/>
      <c r="C278" s="498"/>
      <c r="D278" s="498"/>
      <c r="E278" s="498"/>
      <c r="F278" s="498"/>
      <c r="G278" s="498"/>
      <c r="H278" s="498"/>
      <c r="I278" s="498"/>
      <c r="J278" s="498"/>
      <c r="K278" s="498"/>
      <c r="L278" s="498"/>
      <c r="M278" s="498"/>
    </row>
    <row r="279" spans="1:13" ht="15.5" x14ac:dyDescent="0.35">
      <c r="A279" s="498"/>
      <c r="B279" s="498"/>
      <c r="C279" s="498"/>
      <c r="D279" s="498"/>
      <c r="E279" s="498"/>
      <c r="F279" s="498"/>
      <c r="G279" s="498"/>
      <c r="H279" s="498"/>
      <c r="I279" s="498"/>
      <c r="J279" s="498"/>
      <c r="K279" s="498"/>
      <c r="L279" s="498"/>
      <c r="M279" s="498"/>
    </row>
    <row r="280" spans="1:13" ht="15.5" x14ac:dyDescent="0.35">
      <c r="A280" s="498"/>
      <c r="B280" s="498"/>
      <c r="C280" s="498"/>
      <c r="D280" s="498"/>
      <c r="E280" s="498"/>
      <c r="F280" s="498"/>
      <c r="G280" s="498"/>
      <c r="H280" s="498"/>
      <c r="I280" s="498"/>
      <c r="J280" s="498"/>
      <c r="K280" s="498"/>
      <c r="L280" s="498"/>
      <c r="M280" s="498"/>
    </row>
    <row r="281" spans="1:13" ht="15.5" x14ac:dyDescent="0.35">
      <c r="A281" s="498"/>
      <c r="B281" s="498"/>
      <c r="C281" s="498"/>
      <c r="D281" s="498"/>
      <c r="E281" s="498"/>
      <c r="F281" s="498"/>
      <c r="G281" s="498"/>
      <c r="H281" s="498"/>
      <c r="I281" s="498"/>
      <c r="J281" s="498"/>
      <c r="K281" s="498"/>
      <c r="L281" s="498"/>
      <c r="M281" s="498"/>
    </row>
    <row r="282" spans="1:13" ht="15.5" x14ac:dyDescent="0.35">
      <c r="A282" s="498"/>
      <c r="B282" s="498"/>
      <c r="C282" s="498"/>
      <c r="D282" s="498"/>
      <c r="E282" s="498"/>
      <c r="F282" s="498"/>
      <c r="G282" s="498"/>
      <c r="H282" s="498"/>
      <c r="I282" s="498"/>
      <c r="J282" s="498"/>
      <c r="K282" s="498"/>
      <c r="L282" s="498"/>
      <c r="M282" s="498"/>
    </row>
    <row r="283" spans="1:13" ht="15.5" x14ac:dyDescent="0.35">
      <c r="A283" s="498"/>
      <c r="B283" s="498"/>
      <c r="C283" s="498"/>
      <c r="D283" s="498"/>
      <c r="E283" s="498"/>
      <c r="F283" s="498"/>
      <c r="G283" s="498"/>
      <c r="H283" s="498"/>
      <c r="I283" s="498"/>
      <c r="J283" s="498"/>
      <c r="K283" s="498"/>
      <c r="L283" s="498"/>
      <c r="M283" s="498"/>
    </row>
    <row r="284" spans="1:13" ht="15.5" x14ac:dyDescent="0.35">
      <c r="A284" s="498"/>
      <c r="B284" s="498"/>
      <c r="C284" s="498"/>
      <c r="D284" s="498"/>
      <c r="E284" s="498"/>
      <c r="F284" s="498"/>
      <c r="G284" s="498"/>
      <c r="H284" s="498"/>
      <c r="I284" s="498"/>
      <c r="J284" s="498"/>
      <c r="K284" s="498"/>
      <c r="L284" s="498"/>
      <c r="M284" s="498"/>
    </row>
    <row r="285" spans="1:13" ht="15.5" x14ac:dyDescent="0.35">
      <c r="A285" s="498"/>
      <c r="B285" s="498"/>
      <c r="C285" s="498"/>
      <c r="D285" s="498"/>
      <c r="E285" s="498"/>
      <c r="F285" s="498"/>
      <c r="G285" s="498"/>
      <c r="H285" s="498"/>
      <c r="I285" s="498"/>
      <c r="J285" s="498"/>
      <c r="K285" s="498"/>
      <c r="L285" s="498"/>
      <c r="M285" s="498"/>
    </row>
    <row r="286" spans="1:13" ht="15.5" x14ac:dyDescent="0.35">
      <c r="A286" s="498"/>
      <c r="B286" s="498"/>
      <c r="C286" s="498"/>
      <c r="D286" s="498"/>
      <c r="E286" s="498"/>
      <c r="F286" s="498"/>
      <c r="G286" s="498"/>
      <c r="H286" s="498"/>
      <c r="I286" s="498"/>
      <c r="J286" s="498"/>
      <c r="K286" s="498"/>
      <c r="L286" s="498"/>
      <c r="M286" s="498"/>
    </row>
    <row r="287" spans="1:13" ht="15.5" x14ac:dyDescent="0.35">
      <c r="A287" s="498"/>
      <c r="B287" s="498"/>
      <c r="C287" s="498"/>
      <c r="D287" s="498"/>
      <c r="E287" s="498"/>
      <c r="F287" s="498"/>
      <c r="G287" s="498"/>
      <c r="H287" s="498"/>
      <c r="I287" s="498"/>
      <c r="J287" s="498"/>
      <c r="K287" s="498"/>
      <c r="L287" s="498"/>
      <c r="M287" s="498"/>
    </row>
    <row r="288" spans="1:13" ht="15.5" x14ac:dyDescent="0.35">
      <c r="A288" s="498"/>
      <c r="B288" s="498"/>
      <c r="C288" s="498"/>
      <c r="D288" s="498"/>
      <c r="E288" s="498"/>
      <c r="F288" s="498"/>
      <c r="G288" s="498"/>
      <c r="H288" s="498"/>
      <c r="I288" s="498"/>
      <c r="J288" s="498"/>
      <c r="K288" s="498"/>
      <c r="L288" s="498"/>
      <c r="M288" s="498"/>
    </row>
    <row r="289" spans="1:13" ht="15.5" x14ac:dyDescent="0.35">
      <c r="A289" s="498"/>
      <c r="B289" s="498"/>
      <c r="C289" s="498"/>
      <c r="D289" s="498"/>
      <c r="E289" s="498"/>
      <c r="F289" s="498"/>
      <c r="G289" s="498"/>
      <c r="H289" s="498"/>
      <c r="I289" s="498"/>
      <c r="J289" s="498"/>
      <c r="K289" s="498"/>
      <c r="L289" s="498"/>
      <c r="M289" s="498"/>
    </row>
    <row r="290" spans="1:13" ht="15.5" x14ac:dyDescent="0.35">
      <c r="A290" s="498"/>
      <c r="B290" s="498"/>
      <c r="C290" s="498"/>
      <c r="D290" s="498"/>
      <c r="E290" s="498"/>
      <c r="F290" s="498"/>
      <c r="G290" s="498"/>
      <c r="H290" s="498"/>
      <c r="I290" s="498"/>
      <c r="J290" s="498"/>
      <c r="K290" s="498"/>
      <c r="L290" s="498"/>
      <c r="M290" s="498"/>
    </row>
    <row r="291" spans="1:13" ht="15.5" x14ac:dyDescent="0.35">
      <c r="A291" s="498"/>
      <c r="B291" s="498"/>
      <c r="C291" s="498"/>
      <c r="D291" s="498"/>
      <c r="E291" s="498"/>
      <c r="F291" s="498"/>
      <c r="G291" s="498"/>
      <c r="H291" s="498"/>
      <c r="I291" s="498"/>
      <c r="J291" s="498"/>
      <c r="K291" s="498"/>
      <c r="L291" s="498"/>
      <c r="M291" s="498"/>
    </row>
    <row r="292" spans="1:13" ht="15.5" x14ac:dyDescent="0.35">
      <c r="A292" s="498"/>
      <c r="B292" s="498"/>
      <c r="C292" s="498"/>
      <c r="D292" s="498"/>
      <c r="E292" s="498"/>
      <c r="F292" s="498"/>
      <c r="G292" s="498"/>
      <c r="H292" s="498"/>
      <c r="I292" s="498"/>
      <c r="J292" s="498"/>
      <c r="K292" s="498"/>
      <c r="L292" s="498"/>
      <c r="M292" s="498"/>
    </row>
    <row r="293" spans="1:13" ht="15.5" x14ac:dyDescent="0.35">
      <c r="A293" s="498"/>
      <c r="B293" s="498"/>
      <c r="C293" s="498"/>
      <c r="D293" s="498"/>
      <c r="E293" s="498"/>
      <c r="F293" s="498"/>
      <c r="G293" s="498"/>
      <c r="H293" s="498"/>
      <c r="I293" s="498"/>
      <c r="J293" s="498"/>
      <c r="K293" s="498"/>
      <c r="L293" s="498"/>
      <c r="M293" s="498"/>
    </row>
    <row r="294" spans="1:13" ht="15.5" x14ac:dyDescent="0.35">
      <c r="A294" s="498"/>
      <c r="B294" s="498"/>
      <c r="C294" s="498"/>
      <c r="D294" s="498"/>
      <c r="E294" s="498"/>
      <c r="F294" s="498"/>
      <c r="G294" s="498"/>
      <c r="H294" s="498"/>
      <c r="I294" s="498"/>
      <c r="J294" s="498"/>
      <c r="K294" s="498"/>
      <c r="L294" s="498"/>
      <c r="M294" s="498"/>
    </row>
    <row r="295" spans="1:13" ht="15.5" x14ac:dyDescent="0.35">
      <c r="A295" s="498"/>
      <c r="B295" s="498"/>
      <c r="C295" s="498"/>
      <c r="D295" s="498"/>
      <c r="E295" s="498"/>
      <c r="F295" s="498"/>
      <c r="G295" s="498"/>
      <c r="H295" s="498"/>
      <c r="I295" s="498"/>
      <c r="J295" s="498"/>
      <c r="K295" s="498"/>
      <c r="L295" s="498"/>
      <c r="M295" s="498"/>
    </row>
    <row r="296" spans="1:13" ht="15.5" x14ac:dyDescent="0.35">
      <c r="A296" s="498"/>
      <c r="B296" s="498"/>
      <c r="C296" s="498"/>
      <c r="D296" s="498"/>
      <c r="E296" s="498"/>
      <c r="F296" s="498"/>
      <c r="G296" s="498"/>
      <c r="H296" s="498"/>
      <c r="I296" s="498"/>
      <c r="J296" s="498"/>
      <c r="K296" s="498"/>
      <c r="L296" s="498"/>
      <c r="M296" s="498"/>
    </row>
    <row r="297" spans="1:13" ht="15.5" x14ac:dyDescent="0.35">
      <c r="A297" s="498"/>
      <c r="B297" s="498"/>
      <c r="C297" s="498"/>
      <c r="D297" s="498"/>
      <c r="E297" s="498"/>
      <c r="F297" s="498"/>
      <c r="G297" s="498"/>
      <c r="H297" s="498"/>
      <c r="I297" s="498"/>
      <c r="J297" s="498"/>
      <c r="K297" s="498"/>
      <c r="L297" s="498"/>
      <c r="M297" s="498"/>
    </row>
    <row r="298" spans="1:13" ht="15.5" x14ac:dyDescent="0.35">
      <c r="A298" s="498"/>
      <c r="B298" s="498"/>
      <c r="C298" s="498"/>
      <c r="D298" s="498"/>
      <c r="E298" s="498"/>
      <c r="F298" s="498"/>
      <c r="G298" s="498"/>
      <c r="H298" s="498"/>
      <c r="I298" s="498"/>
      <c r="J298" s="498"/>
      <c r="K298" s="498"/>
      <c r="L298" s="498"/>
      <c r="M298" s="498"/>
    </row>
    <row r="299" spans="1:13" ht="15.5" x14ac:dyDescent="0.35">
      <c r="A299" s="498"/>
      <c r="B299" s="498"/>
      <c r="C299" s="498"/>
      <c r="D299" s="498"/>
      <c r="E299" s="498"/>
      <c r="F299" s="498"/>
      <c r="G299" s="498"/>
      <c r="H299" s="498"/>
      <c r="I299" s="498"/>
      <c r="J299" s="498"/>
      <c r="K299" s="498"/>
      <c r="L299" s="498"/>
      <c r="M299" s="498"/>
    </row>
    <row r="300" spans="1:13" ht="15.5" x14ac:dyDescent="0.35">
      <c r="A300" s="498"/>
      <c r="B300" s="498"/>
      <c r="C300" s="498"/>
      <c r="D300" s="498"/>
      <c r="E300" s="498"/>
      <c r="F300" s="498"/>
      <c r="G300" s="498"/>
      <c r="H300" s="498"/>
      <c r="I300" s="498"/>
      <c r="J300" s="498"/>
      <c r="K300" s="498"/>
      <c r="L300" s="498"/>
      <c r="M300" s="498"/>
    </row>
    <row r="301" spans="1:13" ht="15.5" x14ac:dyDescent="0.35">
      <c r="A301" s="498"/>
      <c r="B301" s="498"/>
      <c r="C301" s="498"/>
      <c r="D301" s="498"/>
      <c r="E301" s="498"/>
      <c r="F301" s="498"/>
      <c r="G301" s="498"/>
      <c r="H301" s="498"/>
      <c r="I301" s="498"/>
      <c r="J301" s="498"/>
      <c r="K301" s="498"/>
      <c r="L301" s="498"/>
      <c r="M301" s="498"/>
    </row>
    <row r="302" spans="1:13" ht="15.5" x14ac:dyDescent="0.35">
      <c r="A302" s="498"/>
      <c r="B302" s="498"/>
      <c r="C302" s="498"/>
      <c r="D302" s="498"/>
      <c r="E302" s="498"/>
      <c r="F302" s="498"/>
      <c r="G302" s="498"/>
      <c r="H302" s="498"/>
      <c r="I302" s="498"/>
      <c r="J302" s="498"/>
      <c r="K302" s="498"/>
      <c r="L302" s="498"/>
      <c r="M302" s="498"/>
    </row>
    <row r="303" spans="1:13" ht="15.5" x14ac:dyDescent="0.35">
      <c r="A303" s="498"/>
      <c r="B303" s="498"/>
      <c r="C303" s="498"/>
      <c r="D303" s="498"/>
      <c r="E303" s="498"/>
      <c r="F303" s="498"/>
      <c r="G303" s="498"/>
      <c r="H303" s="498"/>
      <c r="I303" s="498"/>
      <c r="J303" s="498"/>
      <c r="K303" s="498"/>
      <c r="L303" s="498"/>
      <c r="M303" s="498"/>
    </row>
    <row r="304" spans="1:13" ht="15.5" x14ac:dyDescent="0.35">
      <c r="A304" s="498"/>
      <c r="B304" s="498"/>
      <c r="C304" s="498"/>
      <c r="D304" s="498"/>
      <c r="E304" s="498"/>
      <c r="F304" s="498"/>
      <c r="G304" s="498"/>
      <c r="H304" s="498"/>
      <c r="I304" s="498"/>
      <c r="J304" s="498"/>
      <c r="K304" s="498"/>
      <c r="L304" s="498"/>
      <c r="M304" s="498"/>
    </row>
    <row r="305" spans="1:13" ht="15.5" x14ac:dyDescent="0.35">
      <c r="A305" s="498"/>
      <c r="B305" s="498"/>
      <c r="C305" s="498"/>
      <c r="D305" s="498"/>
      <c r="E305" s="498"/>
      <c r="F305" s="498"/>
      <c r="G305" s="498"/>
      <c r="H305" s="498"/>
      <c r="I305" s="498"/>
      <c r="J305" s="498"/>
      <c r="K305" s="498"/>
      <c r="L305" s="498"/>
      <c r="M305" s="498"/>
    </row>
    <row r="306" spans="1:13" ht="15.5" x14ac:dyDescent="0.35">
      <c r="A306" s="498"/>
      <c r="B306" s="498"/>
      <c r="C306" s="498"/>
      <c r="D306" s="498"/>
      <c r="E306" s="498"/>
      <c r="F306" s="498"/>
      <c r="G306" s="498"/>
      <c r="H306" s="498"/>
      <c r="I306" s="498"/>
      <c r="J306" s="498"/>
      <c r="K306" s="498"/>
      <c r="L306" s="498"/>
      <c r="M306" s="498"/>
    </row>
    <row r="307" spans="1:13" ht="15.5" x14ac:dyDescent="0.35">
      <c r="A307" s="498"/>
      <c r="B307" s="498"/>
      <c r="C307" s="498"/>
      <c r="D307" s="498"/>
      <c r="E307" s="498"/>
      <c r="F307" s="498"/>
      <c r="G307" s="498"/>
      <c r="H307" s="498"/>
      <c r="I307" s="498"/>
      <c r="J307" s="498"/>
      <c r="K307" s="498"/>
      <c r="L307" s="498"/>
      <c r="M307" s="498"/>
    </row>
    <row r="308" spans="1:13" ht="15.5" x14ac:dyDescent="0.35">
      <c r="A308" s="498"/>
      <c r="B308" s="498"/>
      <c r="C308" s="498"/>
      <c r="D308" s="498"/>
      <c r="E308" s="498"/>
      <c r="F308" s="498"/>
      <c r="G308" s="498"/>
      <c r="H308" s="498"/>
      <c r="I308" s="498"/>
      <c r="J308" s="498"/>
      <c r="K308" s="498"/>
      <c r="L308" s="498"/>
      <c r="M308" s="498"/>
    </row>
    <row r="309" spans="1:13" ht="15.5" x14ac:dyDescent="0.35">
      <c r="A309" s="498"/>
      <c r="B309" s="498"/>
      <c r="C309" s="498"/>
      <c r="D309" s="498"/>
      <c r="E309" s="498"/>
      <c r="F309" s="498"/>
      <c r="G309" s="498"/>
      <c r="H309" s="498"/>
      <c r="I309" s="498"/>
      <c r="J309" s="498"/>
      <c r="K309" s="498"/>
      <c r="L309" s="498"/>
      <c r="M309" s="498"/>
    </row>
    <row r="310" spans="1:13" ht="15.5" x14ac:dyDescent="0.35">
      <c r="A310" s="498"/>
      <c r="B310" s="498"/>
      <c r="C310" s="498"/>
      <c r="D310" s="498"/>
      <c r="E310" s="498"/>
      <c r="F310" s="498"/>
      <c r="G310" s="498"/>
      <c r="H310" s="498"/>
      <c r="I310" s="498"/>
      <c r="J310" s="498"/>
      <c r="K310" s="498"/>
      <c r="L310" s="498"/>
      <c r="M310" s="498"/>
    </row>
    <row r="311" spans="1:13" ht="15.5" x14ac:dyDescent="0.35">
      <c r="A311" s="498"/>
      <c r="B311" s="498"/>
      <c r="C311" s="498"/>
      <c r="D311" s="498"/>
      <c r="E311" s="498"/>
      <c r="F311" s="498"/>
      <c r="G311" s="498"/>
      <c r="H311" s="498"/>
      <c r="I311" s="498"/>
      <c r="J311" s="498"/>
      <c r="K311" s="498"/>
      <c r="L311" s="498"/>
      <c r="M311" s="498"/>
    </row>
    <row r="312" spans="1:13" ht="15.5" x14ac:dyDescent="0.35">
      <c r="A312" s="498"/>
      <c r="B312" s="498"/>
      <c r="C312" s="498"/>
      <c r="D312" s="498"/>
      <c r="E312" s="498"/>
      <c r="F312" s="498"/>
      <c r="G312" s="498"/>
      <c r="H312" s="498"/>
      <c r="I312" s="498"/>
      <c r="J312" s="498"/>
      <c r="K312" s="498"/>
      <c r="L312" s="498"/>
      <c r="M312" s="498"/>
    </row>
    <row r="313" spans="1:13" x14ac:dyDescent="0.35">
      <c r="A313" s="553"/>
      <c r="B313" s="536"/>
      <c r="C313" s="536"/>
      <c r="D313" s="536"/>
      <c r="E313" s="536"/>
      <c r="F313" s="536"/>
      <c r="G313" s="536"/>
      <c r="H313" s="536"/>
      <c r="I313" s="536"/>
      <c r="J313" s="536"/>
      <c r="K313" s="536"/>
      <c r="L313" s="536"/>
      <c r="M313" s="536"/>
    </row>
    <row r="314" spans="1:13" x14ac:dyDescent="0.35">
      <c r="A314" s="553"/>
      <c r="B314" s="536"/>
      <c r="C314" s="536"/>
      <c r="D314" s="536"/>
      <c r="E314" s="536"/>
      <c r="F314" s="536"/>
      <c r="G314" s="536"/>
      <c r="H314" s="536"/>
      <c r="I314" s="536"/>
      <c r="J314" s="536"/>
      <c r="K314" s="536"/>
      <c r="L314" s="536"/>
      <c r="M314" s="536"/>
    </row>
    <row r="315" spans="1:13" x14ac:dyDescent="0.35">
      <c r="A315" s="553"/>
      <c r="B315" s="536"/>
      <c r="C315" s="536"/>
      <c r="D315" s="536"/>
      <c r="E315" s="536"/>
      <c r="F315" s="536"/>
      <c r="G315" s="536"/>
      <c r="H315" s="536"/>
      <c r="I315" s="536"/>
      <c r="J315" s="536"/>
      <c r="K315" s="536"/>
      <c r="L315" s="536"/>
      <c r="M315" s="536"/>
    </row>
    <row r="316" spans="1:13" x14ac:dyDescent="0.35">
      <c r="A316" s="553"/>
      <c r="B316" s="536"/>
      <c r="C316" s="536"/>
      <c r="D316" s="536"/>
      <c r="E316" s="536"/>
      <c r="F316" s="536"/>
      <c r="G316" s="536"/>
      <c r="H316" s="536"/>
      <c r="I316" s="536"/>
      <c r="J316" s="536"/>
      <c r="K316" s="536"/>
      <c r="L316" s="536"/>
      <c r="M316" s="536"/>
    </row>
    <row r="317" spans="1:13" x14ac:dyDescent="0.35">
      <c r="A317" s="553"/>
      <c r="B317" s="536"/>
      <c r="C317" s="536"/>
      <c r="D317" s="536"/>
      <c r="E317" s="536"/>
      <c r="F317" s="536"/>
      <c r="G317" s="536"/>
      <c r="H317" s="536"/>
      <c r="I317" s="536"/>
      <c r="J317" s="536"/>
      <c r="K317" s="536"/>
      <c r="L317" s="536"/>
      <c r="M317" s="536"/>
    </row>
    <row r="318" spans="1:13" x14ac:dyDescent="0.35">
      <c r="A318" s="553"/>
      <c r="B318" s="536"/>
      <c r="C318" s="536"/>
      <c r="D318" s="536"/>
      <c r="E318" s="536"/>
      <c r="F318" s="536"/>
      <c r="G318" s="536"/>
      <c r="H318" s="536"/>
      <c r="I318" s="536"/>
      <c r="J318" s="536"/>
      <c r="K318" s="536"/>
      <c r="L318" s="536"/>
      <c r="M318" s="536"/>
    </row>
    <row r="319" spans="1:13" x14ac:dyDescent="0.35">
      <c r="A319" s="553"/>
      <c r="B319" s="536"/>
      <c r="C319" s="536"/>
      <c r="D319" s="536"/>
      <c r="E319" s="536"/>
      <c r="F319" s="536"/>
      <c r="G319" s="536"/>
      <c r="H319" s="536"/>
      <c r="I319" s="536"/>
      <c r="J319" s="536"/>
      <c r="K319" s="536"/>
      <c r="L319" s="536"/>
      <c r="M319" s="536"/>
    </row>
    <row r="320" spans="1:13" x14ac:dyDescent="0.35">
      <c r="A320" s="553"/>
      <c r="B320" s="536"/>
      <c r="C320" s="536"/>
      <c r="D320" s="536"/>
      <c r="E320" s="536"/>
      <c r="F320" s="536"/>
      <c r="G320" s="536"/>
      <c r="H320" s="536"/>
      <c r="I320" s="536"/>
      <c r="J320" s="536"/>
      <c r="K320" s="536"/>
      <c r="L320" s="536"/>
      <c r="M320" s="536"/>
    </row>
    <row r="321" spans="1:13" x14ac:dyDescent="0.35">
      <c r="A321" s="553"/>
      <c r="B321" s="536"/>
      <c r="C321" s="536"/>
      <c r="D321" s="536"/>
      <c r="E321" s="536"/>
      <c r="F321" s="536"/>
      <c r="G321" s="536"/>
      <c r="H321" s="536"/>
      <c r="I321" s="536"/>
      <c r="J321" s="536"/>
      <c r="K321" s="536"/>
      <c r="L321" s="536"/>
      <c r="M321" s="536"/>
    </row>
    <row r="322" spans="1:13" x14ac:dyDescent="0.35">
      <c r="A322" s="553"/>
      <c r="B322" s="536"/>
      <c r="C322" s="536"/>
      <c r="D322" s="536"/>
      <c r="E322" s="536"/>
      <c r="F322" s="536"/>
      <c r="G322" s="536"/>
      <c r="H322" s="536"/>
      <c r="I322" s="536"/>
      <c r="J322" s="536"/>
      <c r="K322" s="536"/>
      <c r="L322" s="536"/>
      <c r="M322" s="536"/>
    </row>
    <row r="323" spans="1:13" x14ac:dyDescent="0.35">
      <c r="A323" s="553"/>
      <c r="B323" s="536"/>
      <c r="C323" s="536"/>
      <c r="D323" s="536"/>
      <c r="E323" s="536"/>
      <c r="F323" s="536"/>
      <c r="G323" s="536"/>
      <c r="H323" s="536"/>
      <c r="I323" s="536"/>
      <c r="J323" s="536"/>
      <c r="K323" s="536"/>
      <c r="L323" s="536"/>
      <c r="M323" s="536"/>
    </row>
    <row r="324" spans="1:13" x14ac:dyDescent="0.35">
      <c r="A324" s="553"/>
      <c r="B324" s="536"/>
      <c r="C324" s="536"/>
      <c r="D324" s="536"/>
      <c r="E324" s="536"/>
      <c r="F324" s="536"/>
      <c r="G324" s="536"/>
      <c r="H324" s="536"/>
      <c r="I324" s="536"/>
      <c r="J324" s="536"/>
      <c r="K324" s="536"/>
      <c r="L324" s="536"/>
      <c r="M324" s="536"/>
    </row>
    <row r="325" spans="1:13" x14ac:dyDescent="0.35">
      <c r="A325" s="553"/>
      <c r="B325" s="536"/>
      <c r="C325" s="536"/>
      <c r="D325" s="536"/>
      <c r="E325" s="536"/>
      <c r="F325" s="536"/>
      <c r="G325" s="536"/>
      <c r="H325" s="536"/>
      <c r="I325" s="536"/>
      <c r="J325" s="536"/>
      <c r="K325" s="536"/>
      <c r="L325" s="536"/>
      <c r="M325" s="536"/>
    </row>
    <row r="326" spans="1:13" x14ac:dyDescent="0.35">
      <c r="A326" s="553"/>
      <c r="B326" s="536"/>
      <c r="C326" s="536"/>
      <c r="D326" s="536"/>
      <c r="E326" s="536"/>
      <c r="F326" s="536"/>
      <c r="G326" s="536"/>
      <c r="H326" s="536"/>
      <c r="I326" s="536"/>
      <c r="J326" s="536"/>
      <c r="K326" s="536"/>
      <c r="L326" s="536"/>
      <c r="M326" s="536"/>
    </row>
    <row r="327" spans="1:13" x14ac:dyDescent="0.35">
      <c r="A327" s="553"/>
      <c r="B327" s="536"/>
      <c r="C327" s="536"/>
      <c r="D327" s="536"/>
      <c r="E327" s="536"/>
      <c r="F327" s="536"/>
      <c r="G327" s="536"/>
      <c r="H327" s="536"/>
      <c r="I327" s="536"/>
      <c r="J327" s="536"/>
      <c r="K327" s="536"/>
      <c r="L327" s="536"/>
      <c r="M327" s="536"/>
    </row>
    <row r="328" spans="1:13" x14ac:dyDescent="0.35">
      <c r="A328" s="553"/>
      <c r="B328" s="536"/>
      <c r="C328" s="536"/>
      <c r="D328" s="536"/>
      <c r="E328" s="536"/>
      <c r="F328" s="536"/>
      <c r="G328" s="536"/>
      <c r="H328" s="536"/>
      <c r="I328" s="536"/>
      <c r="J328" s="536"/>
      <c r="K328" s="536"/>
      <c r="L328" s="536"/>
      <c r="M328" s="536"/>
    </row>
    <row r="329" spans="1:13" x14ac:dyDescent="0.35">
      <c r="A329" s="553"/>
      <c r="B329" s="536"/>
      <c r="C329" s="536"/>
      <c r="D329" s="536"/>
      <c r="E329" s="536"/>
      <c r="F329" s="536"/>
      <c r="G329" s="536"/>
      <c r="H329" s="536"/>
      <c r="I329" s="536"/>
      <c r="J329" s="536"/>
      <c r="K329" s="536"/>
      <c r="L329" s="536"/>
      <c r="M329" s="536"/>
    </row>
    <row r="330" spans="1:13" x14ac:dyDescent="0.35">
      <c r="A330" s="553"/>
      <c r="B330" s="536"/>
      <c r="C330" s="536"/>
      <c r="D330" s="536"/>
      <c r="E330" s="536"/>
      <c r="F330" s="536"/>
      <c r="G330" s="536"/>
      <c r="H330" s="536"/>
      <c r="I330" s="536"/>
      <c r="J330" s="536"/>
      <c r="K330" s="536"/>
      <c r="L330" s="536"/>
      <c r="M330" s="536"/>
    </row>
    <row r="331" spans="1:13" x14ac:dyDescent="0.35">
      <c r="A331" s="553"/>
      <c r="B331" s="536"/>
      <c r="C331" s="536"/>
      <c r="D331" s="536"/>
      <c r="E331" s="536"/>
      <c r="F331" s="536"/>
      <c r="G331" s="536"/>
      <c r="H331" s="536"/>
      <c r="I331" s="536"/>
      <c r="J331" s="536"/>
      <c r="K331" s="536"/>
      <c r="L331" s="536"/>
      <c r="M331" s="536"/>
    </row>
    <row r="332" spans="1:13" x14ac:dyDescent="0.35">
      <c r="A332" s="553"/>
      <c r="B332" s="536"/>
      <c r="C332" s="536"/>
      <c r="D332" s="536"/>
      <c r="E332" s="536"/>
      <c r="F332" s="536"/>
      <c r="G332" s="536"/>
      <c r="H332" s="536"/>
      <c r="I332" s="536"/>
      <c r="J332" s="536"/>
      <c r="K332" s="536"/>
      <c r="L332" s="536"/>
      <c r="M332" s="536"/>
    </row>
  </sheetData>
  <sheetProtection selectLockedCells="1"/>
  <mergeCells count="69">
    <mergeCell ref="A31:A32"/>
    <mergeCell ref="B31:B32"/>
    <mergeCell ref="C31:C32"/>
    <mergeCell ref="D31:D32"/>
    <mergeCell ref="A27:A28"/>
    <mergeCell ref="B27:B28"/>
    <mergeCell ref="C27:C28"/>
    <mergeCell ref="D27:D28"/>
    <mergeCell ref="M27:M28"/>
    <mergeCell ref="A29:A30"/>
    <mergeCell ref="B29:B30"/>
    <mergeCell ref="C29:C30"/>
    <mergeCell ref="D29:D30"/>
    <mergeCell ref="M29:M30"/>
    <mergeCell ref="A23:A24"/>
    <mergeCell ref="B23:B24"/>
    <mergeCell ref="C23:C24"/>
    <mergeCell ref="D23:D24"/>
    <mergeCell ref="M23:M24"/>
    <mergeCell ref="A25:A26"/>
    <mergeCell ref="B25:B26"/>
    <mergeCell ref="C25:C26"/>
    <mergeCell ref="D25:D26"/>
    <mergeCell ref="M25:M26"/>
    <mergeCell ref="A19:A20"/>
    <mergeCell ref="B19:B20"/>
    <mergeCell ref="C19:C20"/>
    <mergeCell ref="D19:D20"/>
    <mergeCell ref="M19:M20"/>
    <mergeCell ref="A21:A22"/>
    <mergeCell ref="B21:B22"/>
    <mergeCell ref="C21:C22"/>
    <mergeCell ref="D21:D22"/>
    <mergeCell ref="M21:M22"/>
    <mergeCell ref="A15:A18"/>
    <mergeCell ref="B15:B18"/>
    <mergeCell ref="C15:C18"/>
    <mergeCell ref="D15:D16"/>
    <mergeCell ref="M15:M16"/>
    <mergeCell ref="D17:D18"/>
    <mergeCell ref="M17:M18"/>
    <mergeCell ref="A5:A6"/>
    <mergeCell ref="B5:B6"/>
    <mergeCell ref="C5:C6"/>
    <mergeCell ref="D5:D6"/>
    <mergeCell ref="M5:M6"/>
    <mergeCell ref="A7:A14"/>
    <mergeCell ref="B7:B14"/>
    <mergeCell ref="C7:C14"/>
    <mergeCell ref="D7:D8"/>
    <mergeCell ref="M7:M8"/>
    <mergeCell ref="D9:D10"/>
    <mergeCell ref="M9:M10"/>
    <mergeCell ref="D11:D12"/>
    <mergeCell ref="M11:M12"/>
    <mergeCell ref="D13:D14"/>
    <mergeCell ref="M13:M14"/>
    <mergeCell ref="M1:M2"/>
    <mergeCell ref="A3:A4"/>
    <mergeCell ref="B3:B4"/>
    <mergeCell ref="C3:C4"/>
    <mergeCell ref="D3:D4"/>
    <mergeCell ref="M3:M4"/>
    <mergeCell ref="A1:A2"/>
    <mergeCell ref="B1:B2"/>
    <mergeCell ref="C1:C2"/>
    <mergeCell ref="D1:D2"/>
    <mergeCell ref="E1:I1"/>
    <mergeCell ref="J1:L1"/>
  </mergeCells>
  <dataValidations count="1">
    <dataValidation type="whole" allowBlank="1" showInputMessage="1" showErrorMessage="1" sqref="J21:L21" xr:uid="{B0D28CB4-C82D-4D2D-9030-2898519C6EA4}">
      <formula1>0</formula1>
      <formula2>5</formula2>
    </dataValidation>
  </dataValidations>
  <pageMargins left="0.59055118110236227" right="0.59055118110236227" top="0.94488188976377963" bottom="0.86614173228346458" header="0.31496062992125984" footer="0.31496062992125984"/>
  <pageSetup scale="43" fitToHeight="0" orientation="landscape" horizontalDpi="4294967293" r:id="rId1"/>
  <headerFooter>
    <oddHeader>&amp;L&amp;"Palatino Linotype,Negrita"&amp;18
Componente 8: Gestión logística&amp;C&amp;"Palatino Linotype,Negrita"&amp;24Programa Fábricas de Productividad
&amp;20Guía para el diagnóstico general de la Empresa&amp;R&amp;G</oddHeader>
    <oddFooter>&amp;L&amp;"Palatino Linotype,Normal"&amp;12&amp;K000000&amp;G
&amp;"Palatino Linotype,Cursiva"© Colombia Productiva &amp;C&amp;G</oddFooter>
    <firstHeader>&amp;L&amp;"Palatino Linotype,Negrita"&amp;16
Componente 1. Enfoque al Cliente&amp;C&amp;"Palatino Linotype,Normal"&amp;24Programa Fábricas de Productividad&amp;22
&amp;20Guía para el Diagnóstico General de la Empresa</firstHeader>
    <firstFooter>&amp;L&amp;G&amp;C&amp;G&amp;Rpágina 3 de 26</firstFooter>
  </headerFooter>
  <rowBreaks count="3" manualBreakCount="3">
    <brk id="20" max="12" man="1"/>
    <brk id="26" max="12" man="1"/>
    <brk id="45" max="12" man="1"/>
  </rowBreaks>
  <colBreaks count="1" manualBreakCount="1">
    <brk id="13" max="1048575" man="1"/>
  </colBreaks>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BB54B6CCDCAA4495C8DFCFCA2B3261" ma:contentTypeVersion="17" ma:contentTypeDescription="Crear nuevo documento." ma:contentTypeScope="" ma:versionID="4db2338572f9d236a05c196d954efd04">
  <xsd:schema xmlns:xsd="http://www.w3.org/2001/XMLSchema" xmlns:xs="http://www.w3.org/2001/XMLSchema" xmlns:p="http://schemas.microsoft.com/office/2006/metadata/properties" xmlns:ns2="1f47e08c-77f5-4064-9e56-0fcdaff3f7c1" xmlns:ns3="24540482-a4e1-4ea8-a788-0253c7344a00" targetNamespace="http://schemas.microsoft.com/office/2006/metadata/properties" ma:root="true" ma:fieldsID="3dd88a32e48e109306185a012f15ad52" ns2:_="" ns3:_="">
    <xsd:import namespace="1f47e08c-77f5-4064-9e56-0fcdaff3f7c1"/>
    <xsd:import namespace="24540482-a4e1-4ea8-a788-0253c7344a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3:SharedWithUsers" minOccurs="0"/>
                <xsd:element ref="ns2:MediaServiceAutoTags" minOccurs="0"/>
                <xsd:element ref="ns2:MediaServiceLocation" minOccurs="0"/>
                <xsd:element ref="ns3:SharedWithDetails" minOccurs="0"/>
                <xsd:element ref="ns2:MediaServiceOCR"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47e08c-77f5-4064-9e56-0fcdaff3f7c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igrationWizId" ma:index="11" nillable="true" ma:displayName="MigrationWizId" ma:internalName="MigrationWizId">
      <xsd:simpleType>
        <xsd:restriction base="dms:Text"/>
      </xsd:simpleType>
    </xsd:element>
    <xsd:element name="MigrationWizIdPermissions" ma:index="12" nillable="true" ma:displayName="MigrationWizIdPermissions" ma:internalName="MigrationWizIdPermissions">
      <xsd:simpleType>
        <xsd:restriction base="dms:Text"/>
      </xsd:simpleType>
    </xsd:element>
    <xsd:element name="MigrationWizIdPermissionLevels" ma:index="13" nillable="true" ma:displayName="MigrationWizIdPermissionLevels" ma:internalName="MigrationWizIdPermissionLevels">
      <xsd:simpleType>
        <xsd:restriction base="dms:Text"/>
      </xsd:simpleType>
    </xsd:element>
    <xsd:element name="MigrationWizIdDocumentLibraryPermissions" ma:index="14" nillable="true" ma:displayName="MigrationWizIdDocumentLibraryPermissions" ma:internalName="MigrationWizIdDocumentLibraryPermissions">
      <xsd:simpleType>
        <xsd:restriction base="dms:Text"/>
      </xsd:simpleType>
    </xsd:element>
    <xsd:element name="MigrationWizIdSecurityGroups" ma:index="15" nillable="true" ma:displayName="MigrationWizIdSecurityGroups" ma:internalName="MigrationWizIdSecurityGroups">
      <xsd:simpleType>
        <xsd:restriction base="dms:Text"/>
      </xsd:simpleType>
    </xsd:element>
    <xsd:element name="MediaServiceAutoTags" ma:index="17" nillable="true" ma:displayName="MediaServiceAutoTags" ma:description="" ma:internalName="MediaServiceAutoTags" ma:readOnly="true">
      <xsd:simpleType>
        <xsd:restriction base="dms:Text"/>
      </xsd:simpleType>
    </xsd:element>
    <xsd:element name="MediaServiceLocation" ma:index="18" nillable="true" ma:displayName="MediaServiceLocation" ma:description="" ma:internalName="MediaServiceLocation"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4540482-a4e1-4ea8-a788-0253c7344a00" elementFormDefault="qualified">
    <xsd:import namespace="http://schemas.microsoft.com/office/2006/documentManagement/types"/>
    <xsd:import namespace="http://schemas.microsoft.com/office/infopath/2007/PartnerControls"/>
    <xsd:element name="SharedWithUsers" ma:index="16"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4540482-a4e1-4ea8-a788-0253c7344a00">
      <UserInfo>
        <DisplayName>Maria Del Pilar Granados Galvis</DisplayName>
        <AccountId>465</AccountId>
        <AccountType/>
      </UserInfo>
      <UserInfo>
        <DisplayName>Olga Lucia Pesca</DisplayName>
        <AccountId>467</AccountId>
        <AccountType/>
      </UserInfo>
      <UserInfo>
        <DisplayName>Orlando Mario Ramirez Piña</DisplayName>
        <AccountId>915</AccountId>
        <AccountType/>
      </UserInfo>
      <UserInfo>
        <DisplayName>Pedro Garcia-Herreros</DisplayName>
        <AccountId>838</AccountId>
        <AccountType/>
      </UserInfo>
      <UserInfo>
        <DisplayName>Andres Camilo Rojas Pardo</DisplayName>
        <AccountId>879</AccountId>
        <AccountType/>
      </UserInfo>
      <UserInfo>
        <DisplayName>Santiago Jose Plata Muñoz</DisplayName>
        <AccountId>889</AccountId>
        <AccountType/>
      </UserInfo>
      <UserInfo>
        <DisplayName>Claudia Lucia García Murillo</DisplayName>
        <AccountId>853</AccountId>
        <AccountType/>
      </UserInfo>
      <UserInfo>
        <DisplayName>Karen Andrely Mendez Herrera</DisplayName>
        <AccountId>821</AccountId>
        <AccountType/>
      </UserInfo>
      <UserInfo>
        <DisplayName>Jenny Moreno Pastas</DisplayName>
        <AccountId>767</AccountId>
        <AccountType/>
      </UserInfo>
      <UserInfo>
        <DisplayName>Laura Nayibe Castillo Bohorquez</DisplayName>
        <AccountId>917</AccountId>
        <AccountType/>
      </UserInfo>
      <UserInfo>
        <DisplayName>Katerine Espitia Cardenas</DisplayName>
        <AccountId>847</AccountId>
        <AccountType/>
      </UserInfo>
      <UserInfo>
        <DisplayName>David Raul Sanchez Cubides</DisplayName>
        <AccountId>1945</AccountId>
        <AccountType/>
      </UserInfo>
    </SharedWithUsers>
    <MigrationWizIdDocumentLibraryPermissions xmlns="1f47e08c-77f5-4064-9e56-0fcdaff3f7c1" xsi:nil="true"/>
    <MigrationWizIdPermissions xmlns="1f47e08c-77f5-4064-9e56-0fcdaff3f7c1" xsi:nil="true"/>
    <MigrationWizIdPermissionLevels xmlns="1f47e08c-77f5-4064-9e56-0fcdaff3f7c1" xsi:nil="true"/>
    <MigrationWizIdSecurityGroups xmlns="1f47e08c-77f5-4064-9e56-0fcdaff3f7c1" xsi:nil="true"/>
    <MigrationWizId xmlns="1f47e08c-77f5-4064-9e56-0fcdaff3f7c1" xsi:nil="true"/>
  </documentManagement>
</p:properties>
</file>

<file path=customXml/itemProps1.xml><?xml version="1.0" encoding="utf-8"?>
<ds:datastoreItem xmlns:ds="http://schemas.openxmlformats.org/officeDocument/2006/customXml" ds:itemID="{AA9198DA-3E9D-4D51-BC7B-BE78D1B8E1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47e08c-77f5-4064-9e56-0fcdaff3f7c1"/>
    <ds:schemaRef ds:uri="24540482-a4e1-4ea8-a788-0253c7344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B34DE-0F6A-474B-854D-1214B5EF8332}">
  <ds:schemaRefs>
    <ds:schemaRef ds:uri="http://schemas.microsoft.com/sharepoint/v3/contenttype/forms"/>
  </ds:schemaRefs>
</ds:datastoreItem>
</file>

<file path=customXml/itemProps3.xml><?xml version="1.0" encoding="utf-8"?>
<ds:datastoreItem xmlns:ds="http://schemas.openxmlformats.org/officeDocument/2006/customXml" ds:itemID="{D2BF99B0-9484-40C4-827A-CC1FCE0C1A3F}">
  <ds:schemaRefs>
    <ds:schemaRef ds:uri="http://schemas.microsoft.com/office/2006/metadata/properties"/>
    <ds:schemaRef ds:uri="http://schemas.microsoft.com/office/infopath/2007/PartnerControls"/>
    <ds:schemaRef ds:uri="24540482-a4e1-4ea8-a788-0253c7344a00"/>
    <ds:schemaRef ds:uri="1f47e08c-77f5-4064-9e56-0fcdaff3f7c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34</vt:i4>
      </vt:variant>
    </vt:vector>
  </HeadingPairs>
  <TitlesOfParts>
    <vt:vector size="58" baseType="lpstr">
      <vt:lpstr>Indice</vt:lpstr>
      <vt:lpstr>1</vt:lpstr>
      <vt:lpstr>2</vt:lpstr>
      <vt:lpstr>3</vt:lpstr>
      <vt:lpstr>4</vt:lpstr>
      <vt:lpstr>5</vt:lpstr>
      <vt:lpstr>6</vt:lpstr>
      <vt:lpstr>7</vt:lpstr>
      <vt:lpstr>8</vt:lpstr>
      <vt:lpstr>9</vt:lpstr>
      <vt:lpstr>Situación actual</vt:lpstr>
      <vt:lpstr>Situación Futura</vt:lpstr>
      <vt:lpstr>Matriz</vt:lpstr>
      <vt:lpstr>DF</vt:lpstr>
      <vt:lpstr>1. V.Inicial- DX (Gestor)</vt:lpstr>
      <vt:lpstr>Anexo. Cotizaciones (Ext)</vt:lpstr>
      <vt:lpstr>2. Plan de Trabajo (Ext)</vt:lpstr>
      <vt:lpstr>3. Seguimiento Int. 1</vt:lpstr>
      <vt:lpstr>3.2</vt:lpstr>
      <vt:lpstr>4. Acta de Cierre (Ext)</vt:lpstr>
      <vt:lpstr>Indicadores</vt:lpstr>
      <vt:lpstr>Hoja de Datos</vt:lpstr>
      <vt:lpstr>Hoja1</vt:lpstr>
      <vt:lpstr>SIREM</vt:lpstr>
      <vt:lpstr>'1'!Área_de_impresión</vt:lpstr>
      <vt:lpstr>'1. V.Inicial- DX (Gestor)'!Área_de_impresión</vt:lpstr>
      <vt:lpstr>'2'!Área_de_impresión</vt:lpstr>
      <vt:lpstr>'2. Plan de Trabajo (Ext)'!Área_de_impresión</vt:lpstr>
      <vt:lpstr>'3'!Área_de_impresión</vt:lpstr>
      <vt:lpstr>'3. Seguimiento Int. 1'!Área_de_impresión</vt:lpstr>
      <vt:lpstr>'3.2'!Área_de_impresión</vt:lpstr>
      <vt:lpstr>'4'!Área_de_impresión</vt:lpstr>
      <vt:lpstr>'4. Acta de Cierre (Ext)'!Área_de_impresión</vt:lpstr>
      <vt:lpstr>'5'!Área_de_impresión</vt:lpstr>
      <vt:lpstr>'6'!Área_de_impresión</vt:lpstr>
      <vt:lpstr>'7'!Área_de_impresión</vt:lpstr>
      <vt:lpstr>'8'!Área_de_impresión</vt:lpstr>
      <vt:lpstr>'9'!Área_de_impresión</vt:lpstr>
      <vt:lpstr>'Anexo. Cotizaciones (Ext)'!Área_de_impresión</vt:lpstr>
      <vt:lpstr>DF!Área_de_impresión</vt:lpstr>
      <vt:lpstr>Indice!Área_de_impresión</vt:lpstr>
      <vt:lpstr>Matriz!Área_de_impresión</vt:lpstr>
      <vt:lpstr>'Situación actual'!Área_de_impresión</vt:lpstr>
      <vt:lpstr>'Situación Futura'!Área_de_impresión</vt:lpstr>
      <vt:lpstr>'7'!Print_Area</vt:lpstr>
      <vt:lpstr>'1'!Títulos_a_imprimir</vt:lpstr>
      <vt:lpstr>'2'!Títulos_a_imprimir</vt:lpstr>
      <vt:lpstr>'2. Plan de Trabajo (Ext)'!Títulos_a_imprimir</vt:lpstr>
      <vt:lpstr>'3'!Títulos_a_imprimir</vt:lpstr>
      <vt:lpstr>'3. Seguimiento Int. 1'!Títulos_a_imprimir</vt:lpstr>
      <vt:lpstr>'3.2'!Títulos_a_imprimir</vt:lpstr>
      <vt:lpstr>'4'!Títulos_a_imprimir</vt:lpstr>
      <vt:lpstr>'4. Acta de Cierre (Ext)'!Títulos_a_imprimir</vt:lpstr>
      <vt:lpstr>'5'!Títulos_a_imprimir</vt:lpstr>
      <vt:lpstr>'6'!Títulos_a_imprimir</vt:lpstr>
      <vt:lpstr>'7'!Títulos_a_imprimir</vt:lpstr>
      <vt:lpstr>'8'!Títulos_a_imprimir</vt:lpstr>
      <vt:lpstr>'9'!Títulos_a_imprimir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Karen Andrely Mendez Herrera</dc:creator>
  <cp:keywords/>
  <dc:description/>
  <cp:lastModifiedBy>Karen Andrely Mendez Herrera</cp:lastModifiedBy>
  <cp:revision/>
  <dcterms:created xsi:type="dcterms:W3CDTF">2019-04-17T16:29:28Z</dcterms:created>
  <dcterms:modified xsi:type="dcterms:W3CDTF">2022-02-10T21:58:52Z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0x010100A3BB54B6CCDCAA4495C8DFCFCA2B3261</vt:lpwstr>
  </property>
</Properties>
</file>